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05" yWindow="-180" windowWidth="9255" windowHeight="11025" firstSheet="6" activeTab="6"/>
  </bookViews>
  <sheets>
    <sheet name="Костанайская горэлектросеть" sheetId="2" r:id="rId1"/>
    <sheet name="Аулиекольский РЭС" sheetId="3" r:id="rId2"/>
    <sheet name="Беимбета Майлина" sheetId="4" r:id="rId3"/>
    <sheet name="Денисовский РЭС" sheetId="5" r:id="rId4"/>
    <sheet name="Житикаринский РЭС" sheetId="6" r:id="rId5"/>
    <sheet name="Камыстинский РЭС" sheetId="7" r:id="rId6"/>
    <sheet name="Карабалыкский РЭС" sheetId="8" r:id="rId7"/>
    <sheet name="Карасуский РЭС" sheetId="9" r:id="rId8"/>
    <sheet name="Костанайский РЭС" sheetId="10" r:id="rId9"/>
    <sheet name="Мендыкаринский РЭС" sheetId="11" r:id="rId10"/>
    <sheet name="Сарыкольский РЭС" sheetId="12" r:id="rId11"/>
    <sheet name="Узункольский РЭС" sheetId="13" r:id="rId12"/>
    <sheet name="Федоровский РЭС" sheetId="14" r:id="rId13"/>
  </sheets>
  <definedNames>
    <definedName name="_xlnm.Print_Area" localSheetId="1">'Аулиекольский РЭС'!$A$1:$H$109</definedName>
    <definedName name="_xlnm.Print_Area" localSheetId="2">'Беимбета Майлина'!$A$1:$H$63</definedName>
    <definedName name="_xlnm.Print_Area" localSheetId="3">'Денисовский РЭС'!$A$1:$H$66</definedName>
    <definedName name="_xlnm.Print_Area" localSheetId="4">'Житикаринский РЭС'!$A$1:$H$54</definedName>
    <definedName name="_xlnm.Print_Area" localSheetId="5">'Камыстинский РЭС'!$A$1:$H$61</definedName>
    <definedName name="_xlnm.Print_Area" localSheetId="6">'Карабалыкский РЭС'!$A$1:$H$77</definedName>
    <definedName name="_xlnm.Print_Area" localSheetId="7">'Карасуский РЭС'!$A$1:$H$78</definedName>
    <definedName name="_xlnm.Print_Area" localSheetId="0">'Костанайская горэлектросеть'!$A$1:$H$41</definedName>
    <definedName name="_xlnm.Print_Area" localSheetId="8">'Костанайский РЭС'!$A$1:$H$175</definedName>
    <definedName name="_xlnm.Print_Area" localSheetId="9">'Мендыкаринский РЭС'!$A$1:$H$79</definedName>
    <definedName name="_xlnm.Print_Area" localSheetId="10">'Сарыкольский РЭС'!$A$1:$H$63</definedName>
    <definedName name="_xlnm.Print_Area" localSheetId="11">'Узункольский РЭС'!$A$1:$H$67</definedName>
    <definedName name="_xlnm.Print_Area" localSheetId="12">'Федоровский РЭС'!$A$1:$H$81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8"/>
  <c r="G11"/>
  <c r="G6"/>
  <c r="G26" i="11"/>
  <c r="G41"/>
  <c r="G65"/>
  <c r="G60"/>
  <c r="G29"/>
  <c r="G4" i="12" l="1"/>
  <c r="G14" i="13"/>
  <c r="G29"/>
  <c r="G53"/>
  <c r="G50"/>
  <c r="G23" i="10"/>
  <c r="G62"/>
  <c r="G67"/>
  <c r="G103" l="1"/>
  <c r="G66"/>
  <c r="G90"/>
  <c r="G14"/>
  <c r="G44"/>
  <c r="G50"/>
  <c r="G68"/>
  <c r="G108"/>
  <c r="G59"/>
  <c r="G41"/>
  <c r="G25"/>
  <c r="G45"/>
  <c r="G28"/>
  <c r="G32" i="5"/>
  <c r="G34"/>
  <c r="G28"/>
  <c r="G32" i="7"/>
  <c r="G59" i="9"/>
  <c r="G46"/>
  <c r="G13"/>
  <c r="G54"/>
  <c r="G22" i="2"/>
  <c r="G9"/>
  <c r="G27"/>
  <c r="G23"/>
  <c r="G13" i="12"/>
  <c r="G15" i="6"/>
  <c r="G34" i="11"/>
  <c r="G14" i="8"/>
  <c r="G13"/>
  <c r="G37" i="4"/>
  <c r="G36" i="3"/>
  <c r="G33" i="14"/>
  <c r="G15"/>
  <c r="G3" i="10"/>
  <c r="G55"/>
  <c r="G52"/>
  <c r="G96"/>
  <c r="G26"/>
  <c r="G16" i="2" l="1"/>
  <c r="G10"/>
  <c r="G40"/>
  <c r="G30"/>
  <c r="G33"/>
  <c r="G72" i="14" l="1"/>
  <c r="G74"/>
  <c r="G13"/>
  <c r="G24" i="8"/>
  <c r="G57" i="7"/>
  <c r="G59"/>
  <c r="G11" i="13"/>
  <c r="G10" i="4"/>
  <c r="G48" i="10"/>
  <c r="G21"/>
  <c r="G157"/>
  <c r="G131"/>
  <c r="G31" i="2" l="1"/>
  <c r="G12"/>
  <c r="G6"/>
  <c r="G3" i="6"/>
  <c r="G45" i="5"/>
  <c r="G56" i="14"/>
  <c r="G12" i="3"/>
  <c r="G10"/>
  <c r="G46" i="12"/>
  <c r="G54" i="10"/>
  <c r="G99"/>
  <c r="G51"/>
  <c r="G70"/>
  <c r="G57"/>
  <c r="G29" i="2"/>
  <c r="G12" i="4"/>
  <c r="G36"/>
  <c r="G24"/>
  <c r="G95" i="10"/>
  <c r="G24"/>
  <c r="G49"/>
  <c r="G141"/>
  <c r="G41" i="12"/>
  <c r="G14" i="2"/>
  <c r="G85" i="10" l="1"/>
  <c r="G75"/>
  <c r="G20" i="13"/>
  <c r="G19"/>
  <c r="G65"/>
  <c r="G26"/>
  <c r="G24"/>
  <c r="G7"/>
  <c r="G62"/>
  <c r="G66" i="11"/>
  <c r="G10" i="8"/>
  <c r="G28"/>
  <c r="G10" i="14"/>
  <c r="G34" i="2"/>
  <c r="G23" i="6"/>
  <c r="G20" i="7"/>
  <c r="G165" i="10"/>
  <c r="G61" i="12"/>
  <c r="G40"/>
  <c r="G80" i="10"/>
  <c r="G5"/>
  <c r="G40" i="13"/>
  <c r="G68" i="8"/>
  <c r="G69"/>
  <c r="G41" i="2"/>
  <c r="G44" i="6"/>
  <c r="G45" i="3"/>
  <c r="G67"/>
  <c r="G15"/>
  <c r="G40"/>
  <c r="G5"/>
  <c r="G11" i="4"/>
  <c r="G35"/>
  <c r="G27"/>
  <c r="G25" i="14"/>
  <c r="G23"/>
  <c r="G56" i="7"/>
  <c r="G20" i="8"/>
  <c r="G17"/>
  <c r="G7"/>
  <c r="G43" i="10" l="1"/>
  <c r="G8"/>
  <c r="G9"/>
  <c r="G38"/>
  <c r="G53"/>
  <c r="G65"/>
  <c r="G5" i="2" l="1"/>
  <c r="G57" i="14"/>
  <c r="G61"/>
  <c r="G62"/>
  <c r="G68"/>
  <c r="G45"/>
  <c r="G47"/>
  <c r="G39"/>
  <c r="G30"/>
  <c r="G29"/>
  <c r="G21"/>
  <c r="G32"/>
  <c r="G63"/>
  <c r="G59"/>
  <c r="G58"/>
  <c r="G81"/>
  <c r="G71"/>
  <c r="G90" i="3" l="1"/>
  <c r="G23" i="12"/>
  <c r="G12" i="7"/>
  <c r="G40"/>
  <c r="G17" i="4"/>
  <c r="G6"/>
  <c r="G74" i="10"/>
  <c r="G20"/>
  <c r="G33"/>
  <c r="G71"/>
  <c r="G114"/>
  <c r="G79"/>
  <c r="G36"/>
  <c r="G47"/>
  <c r="G15" i="2"/>
  <c r="G7"/>
  <c r="G24"/>
  <c r="G175" i="10" l="1"/>
  <c r="G173"/>
  <c r="G46"/>
  <c r="G29"/>
  <c r="G152"/>
  <c r="G169"/>
  <c r="G147"/>
  <c r="G18" i="4"/>
  <c r="G49" i="13"/>
  <c r="G34" i="6"/>
  <c r="G3" i="12"/>
  <c r="G29"/>
  <c r="G34"/>
  <c r="G48"/>
  <c r="G36" i="11"/>
  <c r="G75"/>
  <c r="G61"/>
  <c r="G65" i="8"/>
  <c r="G14" i="7"/>
  <c r="G8"/>
  <c r="G101" i="3"/>
  <c r="G93"/>
  <c r="G97"/>
  <c r="G87"/>
  <c r="G4" i="14"/>
  <c r="G20" i="2"/>
  <c r="G25"/>
  <c r="G28"/>
  <c r="G35" i="5" l="1"/>
  <c r="G41"/>
  <c r="G57" i="11"/>
  <c r="G70"/>
  <c r="G73"/>
  <c r="G53"/>
  <c r="G22" i="4"/>
  <c r="G23"/>
  <c r="G82" i="3"/>
  <c r="G43"/>
  <c r="G14" i="14"/>
  <c r="G66"/>
  <c r="G112" i="10"/>
  <c r="G102"/>
  <c r="G15"/>
  <c r="G84"/>
  <c r="G105"/>
  <c r="G91"/>
  <c r="G60"/>
  <c r="G9" i="9"/>
  <c r="G56"/>
  <c r="G13" i="6"/>
  <c r="G44" i="9"/>
  <c r="G55" i="4"/>
  <c r="G42"/>
  <c r="G13" i="11"/>
  <c r="G30" i="6"/>
  <c r="G51" i="13"/>
  <c r="G8" i="3"/>
  <c r="G7"/>
  <c r="G4"/>
  <c r="G3" i="14"/>
  <c r="G12" i="10"/>
  <c r="G22"/>
  <c r="G56"/>
  <c r="G94"/>
  <c r="G132"/>
  <c r="G140"/>
  <c r="G155"/>
  <c r="G39"/>
  <c r="G72"/>
  <c r="G98"/>
  <c r="G48" i="4"/>
  <c r="G54"/>
  <c r="G6" i="11"/>
  <c r="G69"/>
  <c r="G4"/>
  <c r="G24" i="7"/>
  <c r="G7" i="14"/>
  <c r="G6"/>
  <c r="G50"/>
  <c r="G139" i="10"/>
  <c r="G74" i="11"/>
  <c r="G31" i="3"/>
  <c r="G8" i="8"/>
  <c r="G37" i="9"/>
  <c r="H41" i="2"/>
  <c r="H30"/>
  <c r="G16" i="12"/>
  <c r="H41" i="10"/>
  <c r="G11" i="6"/>
  <c r="G74" i="9"/>
  <c r="G46" i="4"/>
  <c r="G63" i="8"/>
  <c r="G56"/>
  <c r="G4"/>
  <c r="H5" i="5" l="1"/>
  <c r="H6"/>
  <c r="H7"/>
  <c r="H8"/>
  <c r="H9"/>
  <c r="H10"/>
  <c r="H11"/>
  <c r="H12"/>
  <c r="H13"/>
  <c r="H14"/>
  <c r="H15"/>
  <c r="H16"/>
  <c r="H17"/>
  <c r="H18"/>
  <c r="H19"/>
  <c r="H20"/>
  <c r="H4"/>
  <c r="H3"/>
  <c r="H21" i="2"/>
  <c r="H4" i="14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3"/>
  <c r="H4" i="13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3"/>
  <c r="H4" i="1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3"/>
  <c r="H4" i="1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3"/>
  <c r="H4" i="10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3"/>
  <c r="H4" i="9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3"/>
  <c r="H4" i="8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3"/>
  <c r="H4" i="7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3"/>
  <c r="H4" i="6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3"/>
  <c r="H21" i="5" l="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4" i="2"/>
  <c r="H5"/>
  <c r="H6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H27"/>
  <c r="H28"/>
  <c r="H29"/>
  <c r="H31"/>
  <c r="H32"/>
  <c r="H33"/>
  <c r="H34"/>
  <c r="H35"/>
  <c r="H36"/>
  <c r="H37"/>
  <c r="H38"/>
  <c r="H39"/>
  <c r="H40"/>
  <c r="H3"/>
  <c r="H4" i="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3"/>
  <c r="H4" i="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3"/>
</calcChain>
</file>

<file path=xl/sharedStrings.xml><?xml version="1.0" encoding="utf-8"?>
<sst xmlns="http://schemas.openxmlformats.org/spreadsheetml/2006/main" count="1106" uniqueCount="1007">
  <si>
    <t>№ п/п</t>
  </si>
  <si>
    <t>Наименование ВЛ</t>
  </si>
  <si>
    <t>Протяженность, км</t>
  </si>
  <si>
    <t>Сечение провода, мм2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</si>
  <si>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</si>
  <si>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</si>
  <si>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</si>
  <si>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</si>
  <si>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КГЭС</t>
  </si>
  <si>
    <t>Притобольская - Кир. Завод-1</t>
  </si>
  <si>
    <t>Притобольская - Кир. Завод-2</t>
  </si>
  <si>
    <t>Притобольская - Цветочное хозяйство</t>
  </si>
  <si>
    <t>Притобольская - РП-1</t>
  </si>
  <si>
    <t>Притобольская - Казводовод</t>
  </si>
  <si>
    <t>Притобольская - Дачи</t>
  </si>
  <si>
    <t>Центральная - РП-КСМК</t>
  </si>
  <si>
    <t>Центральная - Дачи КСК</t>
  </si>
  <si>
    <t>Центральная - ГКН</t>
  </si>
  <si>
    <t>Костанайская - МК-27</t>
  </si>
  <si>
    <t>Костанайская - РК-2</t>
  </si>
  <si>
    <t>Городская - ТП-109</t>
  </si>
  <si>
    <t>Городская - ТП-112</t>
  </si>
  <si>
    <t>Городская - ТП-113</t>
  </si>
  <si>
    <t>Глубокий ввод - РК-1 №1</t>
  </si>
  <si>
    <t>Глубокий ввод - РК-1 №2</t>
  </si>
  <si>
    <t>Глубокий ввод - ТП-151</t>
  </si>
  <si>
    <t>Глубокий ввод - РП-26 №1</t>
  </si>
  <si>
    <t>Глубокий ввод - Промзона</t>
  </si>
  <si>
    <t>Сортировочная - ТП-47</t>
  </si>
  <si>
    <t>Южная - ТП-419</t>
  </si>
  <si>
    <t>Заводская - КТП-17</t>
  </si>
  <si>
    <t>Заводская - ТП-420</t>
  </si>
  <si>
    <t>Западная - Гордорстрой №1</t>
  </si>
  <si>
    <t>Западная - Гордорстрой №2</t>
  </si>
  <si>
    <t>Западная - ТП-409</t>
  </si>
  <si>
    <t>Западная - РП-10 №2</t>
  </si>
  <si>
    <t>Западная - РП-10 №1</t>
  </si>
  <si>
    <t>Западная - Западная 1</t>
  </si>
  <si>
    <t>Западная - Западная 2</t>
  </si>
  <si>
    <t>Юго-Западная - ТП-567</t>
  </si>
  <si>
    <t>Юго-Западная - ТП-696-1</t>
  </si>
  <si>
    <t>Юго-Западная - ТП-696-2</t>
  </si>
  <si>
    <t>КЖБИ - ТП-94 №1</t>
  </si>
  <si>
    <t>КЖБИ - ТП-94 №2</t>
  </si>
  <si>
    <t>КЖБИ - ТП-659</t>
  </si>
  <si>
    <t>КЖБИ - НВП-2</t>
  </si>
  <si>
    <t>Красный Партизан - Мехколонна</t>
  </si>
  <si>
    <t>МК-58 - Поселок</t>
  </si>
  <si>
    <t>Аулиекольский РЭС</t>
  </si>
  <si>
    <t>ВЛ-10кВ "Семиозерная-2-ой Подъем"</t>
  </si>
  <si>
    <t>ВЛ-10кВ "Семиозерная-Аманкарагай"</t>
  </si>
  <si>
    <t>ВЛ-10кВ "Семиозерная-Маслозавод"</t>
  </si>
  <si>
    <t>ВЛ-10кВ "Семиозерная-Больница"</t>
  </si>
  <si>
    <t>ВЛ-10кВ "Семиозерная-Почта"</t>
  </si>
  <si>
    <t>ВЛ-10кВ "Семиозерная-Райцентр"</t>
  </si>
  <si>
    <t>ВЛ-10кВ "Семиозерная-РП ДСУ"</t>
  </si>
  <si>
    <t>ВЛ-10кВ "Семиозерная-РЭС"</t>
  </si>
  <si>
    <t>ВЛ-10кВ "Семиозерная-СХТ"</t>
  </si>
  <si>
    <t>ВЛ-10кВ "Семиозерная-Школа"</t>
  </si>
  <si>
    <t>ВЛ-10кВ "Семиозерная-Мельница"</t>
  </si>
  <si>
    <t>ВЛ-10кВ "Хладобойня-Лесхоз"</t>
  </si>
  <si>
    <t>ВЛ-10кВ "Аманкарагай-Аманкарагай"</t>
  </si>
  <si>
    <t>ВЛ-10кВ "Аманкарагай-РП ДСУ"</t>
  </si>
  <si>
    <t>ВЛ-10кВ "Аманкарагай-Баймагамбетова"</t>
  </si>
  <si>
    <t>ВЛ-10кВ "Аманкарагай-Н/база"</t>
  </si>
  <si>
    <t>ВЛ-10кВ "Баймагамбетова-Кордон"</t>
  </si>
  <si>
    <t>ВЛ-10кВ "Баймагамбетова-Сосновка"</t>
  </si>
  <si>
    <t>ВЛ-10кВ "Новоселовка-Аккудук"</t>
  </si>
  <si>
    <t>ВЛ-10кВ "Юльевка-МТМ"</t>
  </si>
  <si>
    <t>ВЛ-10кВ "Юльевка-Федосеевка"</t>
  </si>
  <si>
    <t>ВЛ-10кВ "Юльевка-Ц.ус-ба"</t>
  </si>
  <si>
    <t>ВЛ-10кВ "Юльевка-Чили"</t>
  </si>
  <si>
    <t>ВЛ-10кВ "Черниговка-Базы"</t>
  </si>
  <si>
    <t>ВЛ-10кВ "Черниговка-Ц.ус-ба"</t>
  </si>
  <si>
    <t>ВЛ-10кВ "Черниговка-Школа"</t>
  </si>
  <si>
    <t>ВЛ-10кВ "Черниговка-ХПП"</t>
  </si>
  <si>
    <t>ВЛ-10кВ "Черниговка-Беткудук"</t>
  </si>
  <si>
    <t>ВЛ-10кВ "Тимофеевка-Лесхоз"</t>
  </si>
  <si>
    <t>ВЛ-10кВ "Тимофеевка-Ц.ус-ба"</t>
  </si>
  <si>
    <t>ВЛ-10кВ "Комплекс-Валентиновка"</t>
  </si>
  <si>
    <t>ВЛ-10кВ "Комплекс-Зерноток"</t>
  </si>
  <si>
    <t>ВЛ-10кВ "Комплекс-Кокпекты"</t>
  </si>
  <si>
    <t>ВЛ-10кВ "Комплекс-Ц.ус-ба"</t>
  </si>
  <si>
    <t>ВЛ-10кВ "Москалевка-МТМ"</t>
  </si>
  <si>
    <t>ВЛ-10кВ "Баганалы-ХПП"</t>
  </si>
  <si>
    <t>ВЛ-10кВ "Баганалы-Подхоз"</t>
  </si>
  <si>
    <t>ВЛ-10кВ "Баганалы-Ц.ус-ба"</t>
  </si>
  <si>
    <t>ВЛ-10кВ "Диевка-Базы"</t>
  </si>
  <si>
    <t>ВЛ-10кВ "Диевка-Зерноток"</t>
  </si>
  <si>
    <t>ВЛ-10кВ "Диевка-Пограничный"</t>
  </si>
  <si>
    <t>ВЛ-10кВ "Диевка-ХПП"</t>
  </si>
  <si>
    <t>ВЛ-10кВ "Диевка-Ц.ус-ба"</t>
  </si>
  <si>
    <t>ВЛ-10кВ "Косагал-Ц.ус-ба"</t>
  </si>
  <si>
    <t>ВЛ-10кВ "Косагал-ХПП"</t>
  </si>
  <si>
    <t>ВЛ-10кВ "Целинная-Ц.ус-ба"</t>
  </si>
  <si>
    <t>ВЛ-10кВ "Целинная-Котельная"</t>
  </si>
  <si>
    <t>ВЛ-10кВ "Целинная-Инсыколь"</t>
  </si>
  <si>
    <t>ВЛ-10кВ "Целинная-Инкудук"</t>
  </si>
  <si>
    <t>ВЛ-10кВ "Новонежинка-Лесничество"</t>
  </si>
  <si>
    <t>ВЛ-10кВ "Новонежинка-Миалы"</t>
  </si>
  <si>
    <t>ВЛ-10кВ "Новонежинка-Поселок"</t>
  </si>
  <si>
    <t>ВЛ-10кВ "Новонежинка-Производство"</t>
  </si>
  <si>
    <t>ВЛ-10кВ "Новонежинка-РРС"</t>
  </si>
  <si>
    <t>ВЛ-10кВ "Новонежинка-Школа"</t>
  </si>
  <si>
    <t>ВЛ-10кВ "Новонежинка-Ц.ус-ба"</t>
  </si>
  <si>
    <t>ВЛ-10кВ "Казанбасы-Дангербай3</t>
  </si>
  <si>
    <t>ВЛ-10кВ "Казанбасы-Каракалпак"</t>
  </si>
  <si>
    <t>ВЛ-10кВ "Казанбасы-Ц.ус-ба"</t>
  </si>
  <si>
    <t>ВЛ-10кВ "Казанбасы-ХПП"</t>
  </si>
  <si>
    <t>ВЛ-10кВ "Первомайка-Зерноток"</t>
  </si>
  <si>
    <t>ВЛ-10кВ "Первомайка-Лаврентьевка"</t>
  </si>
  <si>
    <t>ВЛ-10кВ "Первомайка-Ц.ус-ба"</t>
  </si>
  <si>
    <t>ВЛ-10кВ "Докучаевка-Аэропорт"</t>
  </si>
  <si>
    <t>ВЛ-10кВ "Докучаевка-Больница"</t>
  </si>
  <si>
    <t>ВЛ-10кВ "Докучаевка-Быткомбинат"</t>
  </si>
  <si>
    <t>ВЛ-10кВ "Докучаевка-Водозабор"</t>
  </si>
  <si>
    <t>ВЛ-10кВ "Докучаевка-Джамбул"</t>
  </si>
  <si>
    <t>ВЛ-10кВ "Докучаевка-Киевка 1"</t>
  </si>
  <si>
    <t>ВЛ-10кВ "Докучаевка-Киевка 2"</t>
  </si>
  <si>
    <t>ВЛ-10кВ "Докучаевка-Каракудук"</t>
  </si>
  <si>
    <t>ВЛ-10кВ "Докучаевка-РЭС"</t>
  </si>
  <si>
    <t>ВЛ-10кВ "Буревестник-Бригады 2,4,5"</t>
  </si>
  <si>
    <t>ВЛ-10кВ "Буревестник-Бригады 6,7,8"</t>
  </si>
  <si>
    <t>ВЛ-10кВ "Буревестник-Бригады 9,10"</t>
  </si>
  <si>
    <t>ВЛ-10кВ "Буревестник-Водозабор"</t>
  </si>
  <si>
    <t>ВЛ-10кВ "Буревестник-Заречное"</t>
  </si>
  <si>
    <t>ВЛ-10кВ "Буревестник-Зерноток"</t>
  </si>
  <si>
    <t>ВЛ-10кВ "Буревестник-ХПП"</t>
  </si>
  <si>
    <t>ВЛ-10кВ "Буревестник-МТМ"</t>
  </si>
  <si>
    <t>ВЛ-10кВ "Раздольная-Акжол"</t>
  </si>
  <si>
    <t>ВЛ-10кВ "Раздольная-Базы"</t>
  </si>
  <si>
    <t>ВЛ-10кВ "Раздольная-Бригады 1,2,3"</t>
  </si>
  <si>
    <t>ВЛ-10кВ "Раздольная-Ц.ус-ба"</t>
  </si>
  <si>
    <t>ВЛ-10кВ "Сосновка-Ц.ус-ба"</t>
  </si>
  <si>
    <t>ВЛ-10кВ "Сосновка-Отделение 1"</t>
  </si>
  <si>
    <t>ВЛ-10кВ "Сосновка-Отделение 2"</t>
  </si>
  <si>
    <t>ВЛ-10кВ "Дамды-Буйректал"</t>
  </si>
  <si>
    <t>ВЛ-10кВ "Дамды-Карагайлы"</t>
  </si>
  <si>
    <t>ВЛ-10кВ "Дамды-Каракудук"</t>
  </si>
  <si>
    <t>ВЛ-10кВ "Дамды-Ц.ус-ба"</t>
  </si>
  <si>
    <t>ВЛ-10кВ "Дамды-Шубар"</t>
  </si>
  <si>
    <t>ВЛ-10кВ "Кожа-Водозабор"</t>
  </si>
  <si>
    <t>ВЛ-10кВ "Кожа-Наурзум"</t>
  </si>
  <si>
    <t>ВЛ-10кВ "Кожа-Ц.усадьба"</t>
  </si>
  <si>
    <t>ВЛ-10кВ "Шолоксай-Отделение 1"</t>
  </si>
  <si>
    <t>ВЛ-10кВ "Шолоксай-ХПП"</t>
  </si>
  <si>
    <t>ВЛ-10кВ "Шолоксай-МТФ"</t>
  </si>
  <si>
    <t>ВЛ-10кВ "Шолоксай-Котельная"</t>
  </si>
  <si>
    <t>ВЛ-10кВ "Семилетка-Жарколь"</t>
  </si>
  <si>
    <t>ВЛ-10кВ "Семилетка-Отделение 1"</t>
  </si>
  <si>
    <t>ВЛ-10кВ "Ушакова - Панфилова"</t>
  </si>
  <si>
    <t>ВЛ-10кВ "Ушакова - ЦУ Ушакова"</t>
  </si>
  <si>
    <t>ВЛ-10кВ "Ушакова - Бригады"</t>
  </si>
  <si>
    <t>ВЛ-10кВ "Ушакова - Заря"</t>
  </si>
  <si>
    <t>ВЛ-10кВ "Панфилова - ЦУ Панфилова"</t>
  </si>
  <si>
    <t>ВЛ-10кВ "Панфилова - МТМ"</t>
  </si>
  <si>
    <t>Беимбета Майлина РЭС</t>
  </si>
  <si>
    <t>ВЛ-10кВ "Красносельская - Журавлевка"</t>
  </si>
  <si>
    <t>ВЛ-10кВ "Красносельская - Промзона"</t>
  </si>
  <si>
    <t>ВЛ-10кВ "Красносельская - Свиноферма"</t>
  </si>
  <si>
    <t>ВЛ-10кВ "Красносельская - ЦУ"</t>
  </si>
  <si>
    <t>ВЛ-10кВ "Тарановка - Аятский"</t>
  </si>
  <si>
    <t>ВЛ-10кВ "Тарановка - Бригады"</t>
  </si>
  <si>
    <t>ВЛ-10кВ "Тарановка - Котельная"</t>
  </si>
  <si>
    <t>ВЛ-10кВ "Тарановка - Оренбургский"</t>
  </si>
  <si>
    <t>ВЛ-10кВ "Тарановка - Тарановка 1"</t>
  </si>
  <si>
    <t>ВЛ-10кВ "Тарановка - Тарановка 2"</t>
  </si>
  <si>
    <t>ВЛ-10кВ "Тарановка - Водозабор"</t>
  </si>
  <si>
    <t>ВЛ-10кВ "Тарановка - Перемычка"</t>
  </si>
  <si>
    <t>ВЛ-10кВ "Колос - Водозабор"</t>
  </si>
  <si>
    <t>ВЛ-10кВ "Колос - Екатериновка"</t>
  </si>
  <si>
    <t>ВЛ-10кВ "Колос - Промзона"</t>
  </si>
  <si>
    <t>ВЛ-10кВ "Колос - ЦУ"</t>
  </si>
  <si>
    <t>ВЛ-10кВ "Ново-Ильиновка - Богородские"</t>
  </si>
  <si>
    <t>ВЛ-10кВ "Ново-Ильиновка - Животноводство"</t>
  </si>
  <si>
    <t>ВЛ-10кВ "Ново-Ильиновка - Увальное"</t>
  </si>
  <si>
    <t>ВЛ-10кВ "Ново-Ильиновка - ЦУ"</t>
  </si>
  <si>
    <t>ВЛ-10кВ "Тобольская - ДЭУ"</t>
  </si>
  <si>
    <t>ВЛ-10кВ "Тобольская - Южный"</t>
  </si>
  <si>
    <t>ВЛ-10кВ "Тобольская - РРС"</t>
  </si>
  <si>
    <t>ВЛ-10кВ "Тобольская - Школа"</t>
  </si>
  <si>
    <t>ВЛ-10кВ "Тобольская - Насосная 1"</t>
  </si>
  <si>
    <t>ВЛ-10кВ "Тобольская - Насосная 2"</t>
  </si>
  <si>
    <t>ВЛ-10кВ "Тобольская - Перемычка"</t>
  </si>
  <si>
    <t>ВЛ-10кВ "Береговая - Елтай"</t>
  </si>
  <si>
    <t>ВЛ-10кВ "Береговая - КРС"</t>
  </si>
  <si>
    <t>ВЛ-10кВ "Береговая - Нагорный"</t>
  </si>
  <si>
    <t>ВЛ-10кВ "Береговая - Промзона"</t>
  </si>
  <si>
    <t>ВЛ-10кВ "Береговая - ЦУ"</t>
  </si>
  <si>
    <t>ВЛ-10кВ "Рудненская - Школа"</t>
  </si>
  <si>
    <t>ВЛ-10кВ "Рудненская - ЦУ"</t>
  </si>
  <si>
    <t>ВЛ-10кВ "Руднеская - Теплицы"</t>
  </si>
  <si>
    <t>ВЛ-10кВ "Рудненская - Котельная"</t>
  </si>
  <si>
    <t>ВЛ-10кВ "Рудненская - Животноводство"</t>
  </si>
  <si>
    <t>ВЛ-10кВ "Береговая - МТФ"</t>
  </si>
  <si>
    <t>ВЛ-10кВ "Апановка - Наталовка"</t>
  </si>
  <si>
    <t>ВЛ-10кВ "Вачасова - Коржункуль"</t>
  </si>
  <si>
    <t>ВЛ-10кВ "Вачасова - МТМ"</t>
  </si>
  <si>
    <t>ВЛ-10кВ "Вачасова - Поселок"</t>
  </si>
  <si>
    <t>ВЛ-10кВ "Асенкритовка - Варваринка"</t>
  </si>
  <si>
    <t>ВЛ-10кВ "Асенкритовка - КРС"</t>
  </si>
  <si>
    <t>ВЛ-10кВ "Асенкритовка - Николаевка"</t>
  </si>
  <si>
    <t>ВЛ-10кВ "Асенкритовка - Скважина"</t>
  </si>
  <si>
    <t>ВЛ-10кВ "Асенкртовка - ЦУ"</t>
  </si>
  <si>
    <t>ВЛ-10кВ "Красносельская - ГППЗ"</t>
  </si>
  <si>
    <t>ВЛ-10кВ "Красносельская - Майская"</t>
  </si>
  <si>
    <t>ВЛ-10кВ "Красносельская - Щербиновка"</t>
  </si>
  <si>
    <t>ВЛ-10кВ "Майская - Елизаветинка"</t>
  </si>
  <si>
    <t>ВЛ-10кВ "Майская - ЦУ"</t>
  </si>
  <si>
    <t>ВЛ-10кВ "Елизаветинка - Машдвор"</t>
  </si>
  <si>
    <t>ВЛ-10кВ "Елизаветинка - ЦУ"</t>
  </si>
  <si>
    <t>ВЛ-10кВ "Максут - ЦУ"</t>
  </si>
  <si>
    <t>ВЛ-10кВ "Максут - Шегибай"</t>
  </si>
  <si>
    <t>ВЛ-10кВ "Смайловка - Промзона"</t>
  </si>
  <si>
    <t>ВЛ-10кВ "Смайловка - Смайловка"</t>
  </si>
  <si>
    <t>ВЛ-10кВ "Смайловка - Усшорка"</t>
  </si>
  <si>
    <t>ВЛ-10кВ "Смайловка - Каиндыколь"</t>
  </si>
  <si>
    <t>Денисовский РЭС</t>
  </si>
  <si>
    <t>ВЛ-10кВ "Аршалинская - АЗС"</t>
  </si>
  <si>
    <t>ВЛ-10кВ "Аршалинская - Алакуль"</t>
  </si>
  <si>
    <t>ВЛ-10кВ "Аршалинская - Георгиевка"</t>
  </si>
  <si>
    <t>ВЛ-10кВ "Аршалинская - Набережный"</t>
  </si>
  <si>
    <t>ВЛ-10кВ "Аршалинская -ЦУ"</t>
  </si>
  <si>
    <t>ВЛ-10кВ "Комаровская - Отделение 3"</t>
  </si>
  <si>
    <t>ВЛ-10кВ "Комаровская - Отделение 2"</t>
  </si>
  <si>
    <t>ВЛ-10кВ "Комаровская - Котельная"</t>
  </si>
  <si>
    <t>ВЛ-10кВ "Комаровская - ЦУ"</t>
  </si>
  <si>
    <t>ВЛ-10кВ "Аятская - Аксу"</t>
  </si>
  <si>
    <t>ВЛ-10кВ "Аятская - Животноводство"</t>
  </si>
  <si>
    <t>ВЛ-10кВ "Аятская - Маслозавод"</t>
  </si>
  <si>
    <t>ВЛ-10кВ "Аятская - МТМ"</t>
  </si>
  <si>
    <t>ВЛ-10кВ "Аятская - ОРТПЦ"</t>
  </si>
  <si>
    <t>ВЛ-10кВ "Аятская - Синегорка"</t>
  </si>
  <si>
    <t>ВЛ-10кВ "Аятская - ЦУ"</t>
  </si>
  <si>
    <t>ВЛ-10кВ "Свердловка - Аксай"</t>
  </si>
  <si>
    <t>ВЛ-10кВ "Свердловка - ЦУ"</t>
  </si>
  <si>
    <t>ВЛ-10кВ "Глебовка - Глебовка"</t>
  </si>
  <si>
    <t>ВЛ-10кВ "Глебовка - Базы"</t>
  </si>
  <si>
    <t>ВЛ-10кВ "Глебовка - Шукубай"</t>
  </si>
  <si>
    <t>ВЛ-10кВ "Крымская - КРС"</t>
  </si>
  <si>
    <t>ВЛ-10кВ "Крымская - МТМ"</t>
  </si>
  <si>
    <t>ВЛ-10кВ "Крымская - Озерное"</t>
  </si>
  <si>
    <t>ВЛ-10кВ "Крымская - Стройдвор"</t>
  </si>
  <si>
    <t>ВЛ-10кВ "Крымская - ЦУ"</t>
  </si>
  <si>
    <t>ВЛ-10кВ "Некрасова - Профилакторий"</t>
  </si>
  <si>
    <t>ВЛ-10кВ "Некрасова - Хлебзавод"</t>
  </si>
  <si>
    <t>ВЛ-10кВ "Некрасова - Гришенка"</t>
  </si>
  <si>
    <t>ВЛ-10кВ "Некрасова - ЦУ"</t>
  </si>
  <si>
    <t>ВЛ-10кВ "Орджоникидзе - Больница"</t>
  </si>
  <si>
    <t>ВЛ-10кВ "Орджоникидзе - Нефтебаза"</t>
  </si>
  <si>
    <t>ВЛ-10кВ "Орджоникидзе - Алчановка"</t>
  </si>
  <si>
    <t>ВЛ-10кВ "Орджоникидзе - Водозабор"</t>
  </si>
  <si>
    <t>ВЛ-10кВ "Орджоникидзе - Калиновка"</t>
  </si>
  <si>
    <t>ВЛ-10кВ "Орджоникидзе - Майский"</t>
  </si>
  <si>
    <t>ВЛ-10кВ "Орджоникидзе - Мельница"</t>
  </si>
  <si>
    <t>ВЛ-10кВ "Орджоникидзе - РЦ-1"</t>
  </si>
  <si>
    <t>ВЛ-10кВ "Орджоникидзе - РЦ-2"</t>
  </si>
  <si>
    <t>ВЛ-10кВ "Орджоникидзе - РЦ-3"</t>
  </si>
  <si>
    <t>ВЛ-10кВ "Орджоникидзе - Тельмана"</t>
  </si>
  <si>
    <t>ВЛ-10кВ "Перелески - Животноводство"</t>
  </si>
  <si>
    <t>ВЛ-10кВ "Перелески - Полив"</t>
  </si>
  <si>
    <t>ВЛ-10кВ "Покровская - Покровка"</t>
  </si>
  <si>
    <t>ВЛ-10кВ "Покровская - Досовка"</t>
  </si>
  <si>
    <t>ВЛ-10кВ "Рыбопитомник - Рыбопитомник"</t>
  </si>
  <si>
    <t>ВЛ-10кВ "Тельмана - Зерноток"</t>
  </si>
  <si>
    <t>ВЛ-10кВ "Тельмана - ЦУ"</t>
  </si>
  <si>
    <t>ВЛ-10кВ "Приреченская - Водозабор"</t>
  </si>
  <si>
    <t>ВЛ-10кВ "Приреченская - Животноводство"</t>
  </si>
  <si>
    <t>ВЛ-10кВ "Приреченская - Тавриченка"</t>
  </si>
  <si>
    <t>ВЛ-10кВ "Приреченская - ЦУ"</t>
  </si>
  <si>
    <t>ВЛ-10кВ "Баталинская - Базы"</t>
  </si>
  <si>
    <t>ВЛ-10кВ "Батлинская - Базы - ЦУ"</t>
  </si>
  <si>
    <t>ВЛ-10кВ "Баталинская - Водозабор"</t>
  </si>
  <si>
    <t>ВЛ-10кВ "Баталинская - Архангельский"</t>
  </si>
  <si>
    <t>ВЛ-10кВ "Баталинская - Титова"</t>
  </si>
  <si>
    <t>ВЛ-10кВ "Баталинская - Промзона"</t>
  </si>
  <si>
    <t>ВЛ-10кВ "Баталинская - ЦУ"</t>
  </si>
  <si>
    <t>ВЛ-10кВ "ПТФ - Животноводство"</t>
  </si>
  <si>
    <t>ВЛ-10кВ "ПТФ - Константиновка"</t>
  </si>
  <si>
    <t>ВЛ-10кВ "ПТФ - Кочержиновка"</t>
  </si>
  <si>
    <t>ВЛ-10кВ "ПТФ - Красноармейка"</t>
  </si>
  <si>
    <t>ВЛ-10кВ "ПТФ - Поселок ПТФ"</t>
  </si>
  <si>
    <t>Житикаринский РЭС</t>
  </si>
  <si>
    <t>ВЛ-10кВ "Глебовка-подхоз Асбест"</t>
  </si>
  <si>
    <t>ВЛ-10кВ "Забеловка-Забеловка"</t>
  </si>
  <si>
    <t>ВЛ-10кВ "Забеловка-Машдвор"</t>
  </si>
  <si>
    <t>ВЛ-10кВ "Забеловка-Полив"</t>
  </si>
  <si>
    <t>ВЛ-10кВ "Забеловка-Пригородная"</t>
  </si>
  <si>
    <t>ВЛ-10кВ "Забеловка-Промзона"</t>
  </si>
  <si>
    <t>ВЛ-10кВ "Чайковская-Отделение 2"</t>
  </si>
  <si>
    <t>ВЛ-10кВ "Чайковская-Промзона"</t>
  </si>
  <si>
    <t>ВЛ-10кВ "Чайковская-Ц.ус-ба"</t>
  </si>
  <si>
    <t>ВЛ-10кВ "Тохтарово-Комплекс"</t>
  </si>
  <si>
    <t>ВЛ-10кВ "Тохтарово-Максимовка"</t>
  </si>
  <si>
    <t>ВЛ-10кВ "Тохтарово-Промзона"</t>
  </si>
  <si>
    <t>ВЛ-10кВ "Тохтарово-Ц.ус-ба"</t>
  </si>
  <si>
    <t>ВЛ-10кВ "Дзержинская-Отделение 1"</t>
  </si>
  <si>
    <t>ВЛ-10кВ "Дзержинская-Отделение 2"</t>
  </si>
  <si>
    <t>ВЛ-10кВ "Дзержинская-Ц.ус-ба"</t>
  </si>
  <si>
    <t>ВЛ-10кВ "Красноармейка-Каменный карьер"</t>
  </si>
  <si>
    <t>ВЛ-10кВ "Красноармейка-Отделение 1"</t>
  </si>
  <si>
    <t>ВЛ-10кВ "Красноармейка-Промзона"</t>
  </si>
  <si>
    <t>ВЛ-10кВ "Красноармейка-Ц.ус-ба"</t>
  </si>
  <si>
    <t>ВЛ-10кВ "Пригородная-Пригородная"</t>
  </si>
  <si>
    <t>ВЛ-10кВ "Степная-Животноводство"</t>
  </si>
  <si>
    <t>ВЛ-10кВ "Степная-Промзона"</t>
  </si>
  <si>
    <t>ВЛ-10кВ "Степная-Ц.ус-ба"</t>
  </si>
  <si>
    <t>ВЛ-10кВ "Пригородная-Жалгас Агро"</t>
  </si>
  <si>
    <t>ВЛ-6кВ "Кос-РПБ"</t>
  </si>
  <si>
    <t>ВЛ-10кВ "Кусакан-Кусакан"</t>
  </si>
  <si>
    <t>ВЛ-10кВ "Тургеневка-Базы"</t>
  </si>
  <si>
    <t>ВЛ-10кВ "Тургеневка-Промзона"</t>
  </si>
  <si>
    <t>ВЛ-10кВ "Хозрет-МТМ"</t>
  </si>
  <si>
    <t>ВЛ-10кВ "Хозрет-Тасыбай"</t>
  </si>
  <si>
    <t>ВЛ-10кВ "Хозрет-Ц.ус-ба"</t>
  </si>
  <si>
    <t>ВЛ-10кВ "Шевченовка-Ц.ус-ба"</t>
  </si>
  <si>
    <t>ВЛ-10кВ "Шевченовка-Водозабор"</t>
  </si>
  <si>
    <t>ВЛ-10кВ "Шевченовка-Культбыт"</t>
  </si>
  <si>
    <t>ВЛ-10кВ "Шевченовка-Промзона"</t>
  </si>
  <si>
    <t>ВЛ-10кВ "Волгоградская-Ц.ус-ба"</t>
  </si>
  <si>
    <t>ВЛ-10кВ "Волгоградская-Промзона"</t>
  </si>
  <si>
    <t>ВЛ-10кВ "Милютинка-Милютинка"</t>
  </si>
  <si>
    <t>ВЛ-10кВ "Милютинка-Отделение 3"</t>
  </si>
  <si>
    <t>ВЛ-10кВ "Милютинка-Подкачка"</t>
  </si>
  <si>
    <t>ВЛ-10кВ "Милютинка-Ц.ус-ба"</t>
  </si>
  <si>
    <t>ВЛ-10кВ "Прогресс-Культбыт"</t>
  </si>
  <si>
    <t>ВЛ-10кВ "Прогресс-МТМ"</t>
  </si>
  <si>
    <t>ВЛ-10кВ "Прогресс-Мюктыколь"</t>
  </si>
  <si>
    <t>ВЛ-10кВ "Комсомольская-Животноводство"</t>
  </si>
  <si>
    <t>ВЛ-10кВ "Комсомольская-Ц.ус-ба"</t>
  </si>
  <si>
    <t>ВЛ-10кВ "Комсомольская-Шункуркуль"</t>
  </si>
  <si>
    <t>ВЛ-10кВ "Мюктыколь-Комсомольская"</t>
  </si>
  <si>
    <t>ВЛ-10кВ "Мюктыколь-Культбыт"</t>
  </si>
  <si>
    <t>ВЛ-10кВ "Мюктыколь-Скважина"</t>
  </si>
  <si>
    <t>ВЛ-10кВ "Мюктыколь-Торг.Центр"</t>
  </si>
  <si>
    <t>Камыстинский РЭС</t>
  </si>
  <si>
    <t>ВЛ-10кВ "Алтынсарино - 3 отделение"</t>
  </si>
  <si>
    <t>ВЛ-10кВ "Алтынсарино - Базы"</t>
  </si>
  <si>
    <t>ВЛ-10кВ "Алтынсарино - Копланды"</t>
  </si>
  <si>
    <t>ВЛ-10кВ "Алтынсарино - ЦУ"</t>
  </si>
  <si>
    <t>ВЛ-10кВ "Алтынсарино - ХПП"</t>
  </si>
  <si>
    <t>ВЛ-10кВ "Алтынсарино - Филиповка"</t>
  </si>
  <si>
    <t>ВЛ-10кВ "Жаильма - Водозабор"</t>
  </si>
  <si>
    <t>ВЛ-10кВ "Жаильма - Островская"</t>
  </si>
  <si>
    <t>ВЛ-10кВ "Жаильма - Туфановка"</t>
  </si>
  <si>
    <t>ВЛ-10кВ "Жаильма - ЦУ"</t>
  </si>
  <si>
    <t>ВЛ-10кВ "Клочкова - Школа"</t>
  </si>
  <si>
    <t>ВЛ-10кВ "Клочкова - ЦУ"</t>
  </si>
  <si>
    <t>ВЛ-10кВ "Клочкова - МТМ"</t>
  </si>
  <si>
    <t>ВЛ-10кВ "Островская - Зерноток"</t>
  </si>
  <si>
    <t>ВЛ-10кВ "Островская - ЦУ"</t>
  </si>
  <si>
    <t>ВЛ-10кВ "Сахаровка - ХПП"</t>
  </si>
  <si>
    <t>ВЛ-10кВ "Сахаровка - Поселок"</t>
  </si>
  <si>
    <t>ВЛ-10кВ "Талдыколь - ЦУ"</t>
  </si>
  <si>
    <t>ВЛ-10кВ "Талдыколь - МТМ"</t>
  </si>
  <si>
    <t>ВЛ-10кВ "Адаевка - Базы"</t>
  </si>
  <si>
    <t>ВЛ-10кВ "Адаевка - Уразкопа"</t>
  </si>
  <si>
    <t>ВЛ-10кВ "Адаевка - ЦУ"</t>
  </si>
  <si>
    <t>ВЛ-10кВ "Адаевка - Целинный"</t>
  </si>
  <si>
    <t>ВЛ-10кВ "Бестобе - Базы"</t>
  </si>
  <si>
    <t>ВЛ-10кВ "Бестобе - Поселок"</t>
  </si>
  <si>
    <t>ВЛ-10кВ "Бестобе - Производство"</t>
  </si>
  <si>
    <t>ВЛ-10кВ "Бестобе - ЦУ"</t>
  </si>
  <si>
    <t>ВЛ-10кВ "Фрунзе - Богдановка"</t>
  </si>
  <si>
    <t>ВЛ-10кВ "Фрунзе - Водозабор"</t>
  </si>
  <si>
    <t>ВЛ-10кВ "Фрунзе - МТМ"</t>
  </si>
  <si>
    <t>ВЛ-10кВ "Фрунзе - ЦУ"</t>
  </si>
  <si>
    <t>ВЛ-10кВ "Ворошиловка - Базы"</t>
  </si>
  <si>
    <t>ВЛ-10кВ "Ворошиловка - МТМ"</t>
  </si>
  <si>
    <t>ВЛ-10кВ "Ворошиловка - Водозабор"</t>
  </si>
  <si>
    <t>ВЛ-10кВ "Ворошиловка - ЦУ"</t>
  </si>
  <si>
    <t>ВЛ-10кВ "Ливановка - ЦУ"</t>
  </si>
  <si>
    <t>ВЛ-10кВ "Ливановка - Зерноток"</t>
  </si>
  <si>
    <t>ВЛ-10кВ "Кр. Октябрь - ЦУ"</t>
  </si>
  <si>
    <t>ВЛ-10кВ "Кр. Октябрь - Комплекс"</t>
  </si>
  <si>
    <t>ВЛ-10кВ "Бестау - Поселок"</t>
  </si>
  <si>
    <t>ВЛ-10кВ "Свободная - ЦУ"</t>
  </si>
  <si>
    <t>ВЛ-10кВ "Уркашская - ЦУ"</t>
  </si>
  <si>
    <t>ВЛ-10кВ "Дружба - Каймаколь"</t>
  </si>
  <si>
    <t>ВЛ-10кВ "Дружба - Машдвор"</t>
  </si>
  <si>
    <t>ВЛ-10кВ "Дружба - Отделение 1"</t>
  </si>
  <si>
    <t>ВЛ-10кВ "Дружба - ЦУ"</t>
  </si>
  <si>
    <t>ВЛ-10кВ "Свободная - Животноводство"</t>
  </si>
  <si>
    <t>ВЛ-10кВ "Свободная - Мамырколь"</t>
  </si>
  <si>
    <t>ВЛ-10кВ "Свободная - МТМ"</t>
  </si>
  <si>
    <t>ВЛ-10кВ "Камышное - Водозабор"</t>
  </si>
  <si>
    <t>ВЛ-10кВ "Камышное - АЗС - Маяк"</t>
  </si>
  <si>
    <t>ВЛ-10кВ "Камышное - Красноармейка"</t>
  </si>
  <si>
    <t>ВЛ-10кВ "Камышное - Производство"</t>
  </si>
  <si>
    <t>ВЛ-10кВ "Камышное - РЦ-1"</t>
  </si>
  <si>
    <t>ВЛ-10кВ "Камышное - РЦ-2"</t>
  </si>
  <si>
    <t>ВЛ-10кВ "Камышное - РЦ-3"</t>
  </si>
  <si>
    <t>ВЛ-10кВ "Камышное - РЦ-4"</t>
  </si>
  <si>
    <t>ВЛ-10кВ "Камышное - ХПП"</t>
  </si>
  <si>
    <t>ВЛ-10кВ "Камышное - Элеватор"</t>
  </si>
  <si>
    <t>Карабалыкский РЭС</t>
  </si>
  <si>
    <t>ВЛ-10кВ "Комсомолец-Город 1"</t>
  </si>
  <si>
    <t>ВЛ-10кВ "Комсомолец-Город 2"</t>
  </si>
  <si>
    <t>ВЛ-10кВ "Комсомолец-Гурьянова 1"</t>
  </si>
  <si>
    <t>ВЛ-10кВ "Комсомолец-АЗС"</t>
  </si>
  <si>
    <t>ВЛ-10кВ "Комсомолец-Водокачка"</t>
  </si>
  <si>
    <t>ВЛ-10кВ "Комсомолец-ПТФ"</t>
  </si>
  <si>
    <t>ВЛ-10кВ "Комсомолец-ПМК"</t>
  </si>
  <si>
    <t>ВЛ-10кВ "Урожайная-РУС"</t>
  </si>
  <si>
    <t>ВЛ-10кВ "Урожайная-АТЭП"</t>
  </si>
  <si>
    <t>ВЛ-10кВ "Новотроицк-Жана Аул"</t>
  </si>
  <si>
    <t>ВЛ-10кВ "Комсомолец-Ворошиловка"</t>
  </si>
  <si>
    <t>ВЛ-10кВ "Надеждинка-Поселок"</t>
  </si>
  <si>
    <t>ВЛ-10кВ "Надеждинка-Терентьевка"</t>
  </si>
  <si>
    <t>ВЛ-10кВ "Сарыколь-Котлованное"</t>
  </si>
  <si>
    <t>ВЛ-10кВ "Сарыколь-Сарыколь"</t>
  </si>
  <si>
    <t>ВЛ-10кВ "Сарыколь-Целинное"</t>
  </si>
  <si>
    <t>ВЛ-10кВ "Тогузак-Поселок"</t>
  </si>
  <si>
    <t>ВЛ-10кВ "Урожайная-Елшанка"</t>
  </si>
  <si>
    <t>ВЛ-10кВ "Наука-Базы"</t>
  </si>
  <si>
    <t>ВЛ-10кВ "Наука-Белоглиновка"</t>
  </si>
  <si>
    <t>ВЛ-10кВ "Наука-Водозабор"</t>
  </si>
  <si>
    <t>ВЛ-10кВ "Наука-Кирзавод"</t>
  </si>
  <si>
    <t>ВЛ-10кВ "Наука-КРС"</t>
  </si>
  <si>
    <t>ВЛ-10кВ "Наука-МТМ"</t>
  </si>
  <si>
    <t>ВЛ-10кВ "Наука-Святославка"</t>
  </si>
  <si>
    <t>ВЛ-10кВ "Наука-Наука"</t>
  </si>
  <si>
    <t>ВЛ-10кВ "Станционная-КРС"</t>
  </si>
  <si>
    <t>ВЛ-10кВ "Станционная-Станционная"</t>
  </si>
  <si>
    <t>ВЛ-10кВ "Станционная-Фадеевка"</t>
  </si>
  <si>
    <t>ВЛ-10кВ "Станционная-Дальний"</t>
  </si>
  <si>
    <t>ВЛ-10кВ "Станционная-ХПП"</t>
  </si>
  <si>
    <t>ВЛ-10кВ "Бурли-Песчанное"</t>
  </si>
  <si>
    <t>ВЛ-10кВ "Бурли-Ц.ус-ба 1"</t>
  </si>
  <si>
    <t>ВЛ-10кВ "Бурли-Ц.ус-ба 2"</t>
  </si>
  <si>
    <t>ВЛ-10кВ "Бурли-Рыбкино"</t>
  </si>
  <si>
    <t>ВЛ-10кВ "Смирновка-Батмановка"</t>
  </si>
  <si>
    <t>ВЛ-10кВ "Смирновка-Назаровка"</t>
  </si>
  <si>
    <t>ВЛ-10кВ "Смирновка-Рыбкино"</t>
  </si>
  <si>
    <t>ВЛ-10кВ "Смирновка-Ц.ус-ба 1"</t>
  </si>
  <si>
    <t>ВЛ-10кВ "Смирновка-Ц.ус-ба 2"</t>
  </si>
  <si>
    <t>ВЛ-10кВ "Кособа-Березовка"</t>
  </si>
  <si>
    <t>ВЛ-10кВ "Кособа-Карачаколь"</t>
  </si>
  <si>
    <t>ВЛ-10кВ "Кособа-Ц.ус-ба 2 "</t>
  </si>
  <si>
    <t>ВЛ-10кВ "Лесная-КРС"</t>
  </si>
  <si>
    <t>ВЛ-10кВ "Лесная-Есенколь"</t>
  </si>
  <si>
    <t>ВЛ-10кВ "Лесная-Лесная"</t>
  </si>
  <si>
    <t>ВЛ-10кВ "Лесная-Славянка"</t>
  </si>
  <si>
    <t>ВЛ-10кВ "Славянка-Кызыл Ту"</t>
  </si>
  <si>
    <t>ВЛ-10кВ "Славянка-Ленинский"</t>
  </si>
  <si>
    <t>ВЛ-10кВ "Славянка-ХПП"</t>
  </si>
  <si>
    <t>ВЛ-10кВ "Славянка-Ц.ус-ба 1"</t>
  </si>
  <si>
    <t>ВЛ-10кВ "Славянка-Ц.ус-ба 2"</t>
  </si>
  <si>
    <t>ВЛ-10кВ "Новотроицк-Магнай"</t>
  </si>
  <si>
    <t>ВЛ-10кВ "Новотроицк-Подгородка"</t>
  </si>
  <si>
    <t>ВЛ-10кВ "Новотроицк-Енбек"</t>
  </si>
  <si>
    <t>ВЛ-10кВ "Новотроицк-Ц.ус-ба"</t>
  </si>
  <si>
    <t>ВЛ-10кВ "Новотроицк-Маслозавод"</t>
  </si>
  <si>
    <t>ВЛ-10кВ "Победа-Магнай"</t>
  </si>
  <si>
    <t>ВЛ-10кВ "Победа-Отделение 1"</t>
  </si>
  <si>
    <t>ВЛ-10кВ "Победа-Ц.ус-ба"</t>
  </si>
  <si>
    <t>ВЛ-10кВ "Михайловка-Ц.ус-ба"</t>
  </si>
  <si>
    <t>ВЛ-10кВ "Михайловка-Лесное"</t>
  </si>
  <si>
    <t>ВЛ-10кВ "Михайловка-Михайловка"</t>
  </si>
  <si>
    <t>ВЛ-10кВ "Михайловка-ХПП"</t>
  </si>
  <si>
    <t>ВЛ-10кВ "Босколь-Базы"</t>
  </si>
  <si>
    <t>ВЛ-10кВ "Босколь-РП 1"</t>
  </si>
  <si>
    <t>ВЛ-10кВ "Босколь-Лобазовка"</t>
  </si>
  <si>
    <t>ВЛ-10кВ "Босколь-Саманы"</t>
  </si>
  <si>
    <t>ВЛ-10кВ "Босколь-Отделение 4"</t>
  </si>
  <si>
    <t>ВЛ-10кВ "Приречная-Урнек"</t>
  </si>
  <si>
    <t>ВЛ-10кВ "Урнек-Консор"</t>
  </si>
  <si>
    <t>ВЛ-10кВ "Урнек-Урнек"</t>
  </si>
  <si>
    <t>Карасуский РЭС</t>
  </si>
  <si>
    <t>ВЛ-10кВ "Восток - Автопарк"</t>
  </si>
  <si>
    <t>ВЛ-10кВ "Восток - АЗС"</t>
  </si>
  <si>
    <t>ВЛ-10кВ "Восток - Алыкпаш"</t>
  </si>
  <si>
    <t>ВЛ-10кВ "Восток - База РЭС"</t>
  </si>
  <si>
    <t>ВЛ-10кВ "Восток - Жумагул"</t>
  </si>
  <si>
    <t>ВЛ-10кВ "Восток - Фермы"</t>
  </si>
  <si>
    <t>ВЛ-10кВ "Карасу - Маслозавод"</t>
  </si>
  <si>
    <t>ВЛ-10кВ "Карасу - Райцентр"</t>
  </si>
  <si>
    <t>ВЛ-10кВ "Карасу - ХПП"</t>
  </si>
  <si>
    <t>ВЛ-10кВ "Карасу - ЦУ"</t>
  </si>
  <si>
    <t>ВЛ-10кВ "Карасу - КСМК"</t>
  </si>
  <si>
    <t>ВЛ-10кВ "Карасу - ЦРБ"</t>
  </si>
  <si>
    <t>ВЛ-10кВ "Черняевка - Карасу"</t>
  </si>
  <si>
    <t>ВЛ-10кВ "Черняевка - ЦУ"</t>
  </si>
  <si>
    <t>ВЛ-10кВ "Черняевка - Зерноток"</t>
  </si>
  <si>
    <t>ВЛ-10кВ "Колос - Восточный"</t>
  </si>
  <si>
    <t>ВЛ-10кВ "Колос - ЦУ Джамбул"</t>
  </si>
  <si>
    <t>ВЛ-10кВ "Майская - Зерноток"</t>
  </si>
  <si>
    <t>ВЛ-10кВ "Майская - Карачилик"</t>
  </si>
  <si>
    <t>ВЛ-10кВ "Тюнтюгур - АЗС"</t>
  </si>
  <si>
    <t>ВЛ-10кВ "Тюнтюгур - Козубай"</t>
  </si>
  <si>
    <t>ВЛ-10кВ "Тюнтюгур - ЦУ"</t>
  </si>
  <si>
    <t>ВЛ-10кВ "Юбилейная - Березовка"</t>
  </si>
  <si>
    <t>ВЛ-10кВ "Юбилейная - Фермы"</t>
  </si>
  <si>
    <t>ВЛ-10кВ "Юбилейная  - ХПП"</t>
  </si>
  <si>
    <t>ВЛ-10кВ "Юбилейная - ЦУ"</t>
  </si>
  <si>
    <t>ВЛ-10кВ "Кара Мурза - ЦУ"</t>
  </si>
  <si>
    <t>ВЛ-10кВ "Кара Мурза - 1-е отделение"</t>
  </si>
  <si>
    <t>ВЛ-10кВ "Кара Мурза - ХПП"</t>
  </si>
  <si>
    <t>ВЛ-10кВ "Кара Мурза - Водозабор"</t>
  </si>
  <si>
    <t>ВЛ-10кВ "Баканская - ХПП"</t>
  </si>
  <si>
    <t>ВЛ-10кВ "Баканская - ЦУ"</t>
  </si>
  <si>
    <t>ВЛ-10кВ "Ильича - Байганколь"</t>
  </si>
  <si>
    <t>ВЛ-10кВ "Ильича - ЦУ"</t>
  </si>
  <si>
    <t>ВЛ-10кВ "Ильича - Отделение №2"</t>
  </si>
  <si>
    <t>ВЛ-10кВ "Святогорка - Фермы"</t>
  </si>
  <si>
    <t>ВЛ-10кВ "Убаганская - ЦУ"</t>
  </si>
  <si>
    <t>ВЛ-10кВ "Убуганская - Зерноток"</t>
  </si>
  <si>
    <t>ВЛ-10кВ "Убаганская - Кулан"</t>
  </si>
  <si>
    <t>ВЛ-10кВ "Убаганская - Школа"</t>
  </si>
  <si>
    <t>ВЛ-10кВ "Амангельдинская - Целинный"</t>
  </si>
  <si>
    <t>ВЛ-10кВ "Люблинка - Фермы"</t>
  </si>
  <si>
    <t>ВЛ-10кВ "Новопавловка - Поселок"</t>
  </si>
  <si>
    <t>ВЛ-10кВ "Койбагор - Поселок"</t>
  </si>
  <si>
    <t>ВЛ-10кВ "Койбагор - ХПП"</t>
  </si>
  <si>
    <t>ВЛ-10кВ "Койбагор - КСХТ"</t>
  </si>
  <si>
    <t>ВЛ-10кВ "Койбагор - РРС"</t>
  </si>
  <si>
    <t>ВЛ-10кВ "Амангельдинская - Поселок"</t>
  </si>
  <si>
    <t>ВЛ-10кВ "Амангельдинская - Зерноток"</t>
  </si>
  <si>
    <t>ВЛ-10кВ "Амангельдинская - Кирзавод"</t>
  </si>
  <si>
    <t>ВЛ-10кВ "Люблинка - Водозабор"</t>
  </si>
  <si>
    <t>ВЛ-10кВ "Люблинка - Зареченка"</t>
  </si>
  <si>
    <t>ВЛ-10кВ "Люблинка - Николаевка"</t>
  </si>
  <si>
    <t>ВЛ-10кВ "Люблинка - Кушмурунский"</t>
  </si>
  <si>
    <t>ВЛ-10кВ "Октябрьская - ЦУ Железнодорожного"</t>
  </si>
  <si>
    <t>ВЛ-10кВ "Октябрьская - Микрорайон"</t>
  </si>
  <si>
    <t>ВЛ-10кВ "Октябрьская - МТМ"</t>
  </si>
  <si>
    <t>ВЛ-10кВ "Октябрьская - Райцентр"</t>
  </si>
  <si>
    <t>ВЛ-10кВ "Челгаши - Элеватор 1"</t>
  </si>
  <si>
    <t>ВЛ-10кВ "Челгаши - Элеватор 2"</t>
  </si>
  <si>
    <t>ВЛ-10кВ "Челгаши - Райцентр"</t>
  </si>
  <si>
    <t>ВЛ-10кВ "Октябрьская - Животноводство"</t>
  </si>
  <si>
    <t>ВЛ-10кВ "Ишимская - 30 лет Целины"</t>
  </si>
  <si>
    <t>ВЛ-10кВ "Ишимская - ЦУ Октябрьский"</t>
  </si>
  <si>
    <t>ВЛ-10кВ "Элеваторная - РРС"</t>
  </si>
  <si>
    <t>ВЛ-10кВ "Кошевого - ЦУ Кошевого"</t>
  </si>
  <si>
    <t>ВЛ-10кВ "Ишимская - Животноводство"</t>
  </si>
  <si>
    <t>ВЛ-10кВ "Искра - ЦУ Искра"</t>
  </si>
  <si>
    <t>ВЛ-10кВ "Искра - Животноводство"</t>
  </si>
  <si>
    <t>ВЛ-10кВ "Айдарлинская - Бригады"</t>
  </si>
  <si>
    <t>ВЛ-10кВ "Айдарлинская - ЦУ Айдарлинский"</t>
  </si>
  <si>
    <t>ВЛ-10кВ "Герцена - Кирзавод"</t>
  </si>
  <si>
    <t>ВЛ-10кВ "Айдарлинская - 75 разъезд"</t>
  </si>
  <si>
    <t>ВЛ-10кВ "Жекеколь - ЦУ Вильямса"</t>
  </si>
  <si>
    <t>ВЛ-10кВ "Жекеколь - ЦУ Жекеколь"</t>
  </si>
  <si>
    <t>ВЛ-10кВ "Братская - ЦУ Братского"</t>
  </si>
  <si>
    <t>Костанайский РЭС</t>
  </si>
  <si>
    <t>ВЛ-10кВ "Садчиковка - Зерноток"</t>
  </si>
  <si>
    <t>ВЛ-10кВ "Константиновка - Перцевка"</t>
  </si>
  <si>
    <t>ВЛ-10кВ "Константиновка - Балыкты"</t>
  </si>
  <si>
    <t>ВЛ-10кВ "Константиновка - УВС"</t>
  </si>
  <si>
    <t>ВЛ-10кВ "Ульяновка - ЦУ"</t>
  </si>
  <si>
    <t>ВЛ-10кВ "Ульяновка - Бегежан"</t>
  </si>
  <si>
    <t>ВЛ-10кВ "Ульяновка - Ломоносовка"</t>
  </si>
  <si>
    <t>ВЛ-10кВ "Ульяновка - Зерноток"</t>
  </si>
  <si>
    <t>ВЛ-10кВ "Перцевка - Производство"</t>
  </si>
  <si>
    <t>ВЛ-10кВ "Перцевка - Быт"</t>
  </si>
  <si>
    <t>ВЛ-10кВ "Садчиковка - ЦУ"</t>
  </si>
  <si>
    <t>ВЛ-10кВ "Садчиковка - Семилетка"</t>
  </si>
  <si>
    <t>ВЛ-10кВ "Константиновка - МТМ"</t>
  </si>
  <si>
    <t>ВЛ-10кВ "Салчиковка - Полив"</t>
  </si>
  <si>
    <t>ВЛ-10кВ "Белозерка - ДК"</t>
  </si>
  <si>
    <t>ВЛ-10кВ "Белозерка - МТМ"</t>
  </si>
  <si>
    <t>ВЛ-10кВ "Константиновка - Константиновка"</t>
  </si>
  <si>
    <t>ВЛ-10кВ "Шеминовка - Рязановка"</t>
  </si>
  <si>
    <t>ВЛ-10кВ "Казахстанец - Пригородное Лесничество"</t>
  </si>
  <si>
    <t>ВЛ-10кВ "Мичурина - Гостиница"</t>
  </si>
  <si>
    <t>ВЛ-10кВ "Мичурина - Абай"</t>
  </si>
  <si>
    <t>ВЛ-10кВ "Казахстанец - Октябрьский"</t>
  </si>
  <si>
    <t>ВЛ-10кВ "Казахстанец - Рыбный"</t>
  </si>
  <si>
    <t>ВЛ-10кВ "Казахстанец - Лиманный"</t>
  </si>
  <si>
    <t>ВЛ-10кВ "Каражары - Садовый"</t>
  </si>
  <si>
    <t>ВЛ-10кВ "Каражары - Школа"</t>
  </si>
  <si>
    <t>ВЛ-10кВ "Каражары - Кирзавод"</t>
  </si>
  <si>
    <t>ВЛ-10кВ "Каражары - Гостиница"</t>
  </si>
  <si>
    <t>ВЛ-10кВ "Каражары - Водозабор"</t>
  </si>
  <si>
    <t>ВЛ-10кВ "Каражары - Винзавод"</t>
  </si>
  <si>
    <t>ВЛ-10кВ "Каражары - Насосная"</t>
  </si>
  <si>
    <t>ВЛ-10кВ "ОПХ - Комплекс"</t>
  </si>
  <si>
    <t>ВЛ-10кВ "Мичурина - Психбольница"</t>
  </si>
  <si>
    <t>ВЛ-10кВ "Мичурина - Медовик"</t>
  </si>
  <si>
    <t>ВЛ-10кВ "Мичурина - Полив"</t>
  </si>
  <si>
    <t>ВЛ-10кВ "ОПХ - Модуль"</t>
  </si>
  <si>
    <t>ВЛ-10кВ "ОПХ - Казводовод"</t>
  </si>
  <si>
    <t>ВЛ-10кВ "ОПХ - Фермы"</t>
  </si>
  <si>
    <t>ВЛ-10кВ "ОПХ - Скважина"</t>
  </si>
  <si>
    <t>ВЛ-10кВ "ОПХ - Котельная"</t>
  </si>
  <si>
    <t>ВЛ-10кВ "ОПХ - ДК"</t>
  </si>
  <si>
    <t>ВЛ-10кВ "ОПХ - Затобольская"</t>
  </si>
  <si>
    <t>ВЛ-10кВ "ОПХ - РУС"</t>
  </si>
  <si>
    <t>ВЛ-10кВ "Мичурина - Альжанка"</t>
  </si>
  <si>
    <t>ВЛ-10кВ "Мичурина - Пивзавод"</t>
  </si>
  <si>
    <t>ВЛ-10кВ "Мичурина - ЦУ"</t>
  </si>
  <si>
    <t>ВЛ-10кВ "Затобольская - Воинская часть"</t>
  </si>
  <si>
    <t>ВЛ-10кВ "Затобольская - Лесхоз"</t>
  </si>
  <si>
    <t>ВЛ-10кВ "Затобольская - ОПХ"</t>
  </si>
  <si>
    <t>ВЛ-10кВ "Затобольская - Связьстрой"</t>
  </si>
  <si>
    <t>ВЛ-10кВ "Затобольская - Райцентр"</t>
  </si>
  <si>
    <t>ВЛ-10кВ "ОПХ - ГПС"</t>
  </si>
  <si>
    <t>ВЛ-10кВ "Джамбул - Быт"</t>
  </si>
  <si>
    <t>ВЛ-10кВ "Джамбул - Поселок"</t>
  </si>
  <si>
    <t>ВЛ-10кВ "Джамбул - Полив"</t>
  </si>
  <si>
    <t>ВЛ-10кВ "Джамбул - Крестьянское хозяйство"</t>
  </si>
  <si>
    <t>ВЛ-10кВ "Джамбул - Фермы"</t>
  </si>
  <si>
    <t>ВЛ-10кВ "Джамбул - Комплекс"</t>
  </si>
  <si>
    <t>ВЛ-10кВ "Александровка - Жуковка"</t>
  </si>
  <si>
    <t>ВЛ-10кВ "Красный Партизан - ПТФ"</t>
  </si>
  <si>
    <t>ВЛ-10кВ "Красный партизан - Инкубатор"</t>
  </si>
  <si>
    <t>ВЛ-10кВ "Ждановка - Ак-кабак"</t>
  </si>
  <si>
    <t>ВЛ-10кВ "Красный партизан - Кунай"</t>
  </si>
  <si>
    <t>ВЛ-10кВ "Красный партизан - Дружба"</t>
  </si>
  <si>
    <t>ВЛ-10кВ "Майколь - Мехток"</t>
  </si>
  <si>
    <t>ВЛ-10кВ "Шеминовка - Поселок"</t>
  </si>
  <si>
    <t>ВЛ-10кВ "Майколь - ЦУ"</t>
  </si>
  <si>
    <t>ВЛ-10кВ "Рязановка - Поселок"</t>
  </si>
  <si>
    <t>ВЛ-10кВ "Шеминовка - Фермы"</t>
  </si>
  <si>
    <t>ВЛ-10кВ "Ждановка - Васильевка"</t>
  </si>
  <si>
    <t>ВЛ-10кВ "Ждановка - Ждановка"</t>
  </si>
  <si>
    <t>ВЛ-10кВ "Партизан - Бройлерная 1"</t>
  </si>
  <si>
    <t>ВЛ-10кВ "Красный Партизан - Бройлерная 2"</t>
  </si>
  <si>
    <t>ВЛ-10кВ "Красный Партизан - Чапаева"</t>
  </si>
  <si>
    <t>ВЛ-10кВ "Красный Партизан - Ударник"</t>
  </si>
  <si>
    <t>ВЛ-10кВ "Озерная - Животноводство"</t>
  </si>
  <si>
    <t>ВЛ-10кВ "Озерная - Фермы"</t>
  </si>
  <si>
    <t>ВЛ-10кВ "Шишинка - ЦУ"</t>
  </si>
  <si>
    <t>ВЛ-10кВ "Шишинка - Школа"</t>
  </si>
  <si>
    <t>ВЛ-10кВ "Озерная - Светлый Жарколь"</t>
  </si>
  <si>
    <t>ВЛ-10кВ "Озерная - Карла Маркса"</t>
  </si>
  <si>
    <t>ВЛ-10кВ "Шишинка - Суриковка"</t>
  </si>
  <si>
    <t>ВЛ-10кВ "Шишинка - Зерноток"</t>
  </si>
  <si>
    <t>ВЛ-10кВ "Озерная - ЭТУС"</t>
  </si>
  <si>
    <t>ВЛ-10кВ "Озерная - Школа"</t>
  </si>
  <si>
    <t>ВЛ-10кВ "Озерная - Московский"</t>
  </si>
  <si>
    <t>ВЛ-10кВ "Шишинка - Фермы"</t>
  </si>
  <si>
    <t>ВЛ-10кВ "Озерная - ЛМУ"</t>
  </si>
  <si>
    <t>ВЛ-10кВ "Организатор - Жаксалык"</t>
  </si>
  <si>
    <t>ВЛ-10кВ "Глазуновка - Фермы"</t>
  </si>
  <si>
    <t>ВЛ-10кВ "Глазуновка - Семеновка"</t>
  </si>
  <si>
    <t>ВЛ-10кВ "Организатор - Школа"</t>
  </si>
  <si>
    <t>ВЛ-10кВ "Глазуновка - РРС"</t>
  </si>
  <si>
    <t>ВЛ-10кВ "Глазуновка - Степное"</t>
  </si>
  <si>
    <t>ВЛ-10кВ "Глазуновка - Талапкер"</t>
  </si>
  <si>
    <t>ВЛ-10кВ "Организатор - Зерноток"</t>
  </si>
  <si>
    <t>ВЛ-10кВ "Глазуновка - Стройучасток"</t>
  </si>
  <si>
    <t>ВЛ-10кВ "Глазуновка - ЦУ"</t>
  </si>
  <si>
    <t>ВЛ-10кВ "Садчиковка - Рыспай"</t>
  </si>
  <si>
    <t>ВЛ-10кВ "Владимировка - Архиповка"</t>
  </si>
  <si>
    <t>ВЛ-10кВ "ОПХ - Молокановка"</t>
  </si>
  <si>
    <t>ВЛ-10кВ "Янушевка - Поселок"</t>
  </si>
  <si>
    <t>ВЛ-10кВ "Владимировка - Кормоцех"</t>
  </si>
  <si>
    <t>ВЛ-10кВ "Владимировка - Быт"</t>
  </si>
  <si>
    <t>ВЛ-10кВ "Владимировка - Новостройка"</t>
  </si>
  <si>
    <t>ВЛ-10кВ "Владимировка - Полив"</t>
  </si>
  <si>
    <t>ВЛ-10кВ "Владимировка - Нечаевка"</t>
  </si>
  <si>
    <t>ВЛ-10кВ "Владимировка - РРС"</t>
  </si>
  <si>
    <t>ВЛ-10кВ "Владимировка - Молзавод"</t>
  </si>
  <si>
    <t>ВЛ-10кВ "Воскресеновка - Поселок"</t>
  </si>
  <si>
    <t>ВЛ-10кВ "Павловка - Майлап"</t>
  </si>
  <si>
    <t>ВЛ-10кВ "Воскресеновка - Зерноток"</t>
  </si>
  <si>
    <t>ВЛ-10кВ "Павловская - Мастерские"</t>
  </si>
  <si>
    <t>ВЛ-10кВ "Павловка - Стройучасток"</t>
  </si>
  <si>
    <t>ВЛ-10кВ "Павловка - Поселок"</t>
  </si>
  <si>
    <t>ВЛ-10кВ "Воскресеновка - Кормоцех"</t>
  </si>
  <si>
    <t>ВЛ-10кВ "Павловка - Зерноток"</t>
  </si>
  <si>
    <t>ВЛ-10кВ "Павловка - Машдвор"</t>
  </si>
  <si>
    <t>ВЛ-10кВ "Александровка - Александровка"</t>
  </si>
  <si>
    <t>ВЛ-10кВ "Борис Романовка - Зерноток"</t>
  </si>
  <si>
    <t>ВЛ-10кВ "Александровка - Фермы"</t>
  </si>
  <si>
    <t>ВЛ-10кВ "Борис Романовка - Поселок"</t>
  </si>
  <si>
    <t>ВЛ-10кВ "Александровка - УВС"</t>
  </si>
  <si>
    <t>ВЛ-10кВ "Сосновый Бор - Красный Кордон"</t>
  </si>
  <si>
    <t>ВЛ-10кВ "Сосновый Бор - Щербакова"</t>
  </si>
  <si>
    <t>ВЛ-10кВ "Щербакова - Водозабор"</t>
  </si>
  <si>
    <t>ВЛ-10кВ "Щербакова - Сосновый Бор"</t>
  </si>
  <si>
    <t>ВЛ-10кВ "Щербакова - Кирзавод"</t>
  </si>
  <si>
    <t>ВЛ-10кВ "Маяковская - Клуб"</t>
  </si>
  <si>
    <t>ВЛ-10кВ "Маяковская - Поселок"</t>
  </si>
  <si>
    <t>ВЛ-10кВ "Маяковская - Кызыл-Агаш"</t>
  </si>
  <si>
    <t>ВЛ-10кВ "Пионерская - Котельная"</t>
  </si>
  <si>
    <t>ВЛ-10кВ "Пионерская - Лесная"</t>
  </si>
  <si>
    <t>ВЛ-10кВ "Янушевка - Сатай"</t>
  </si>
  <si>
    <t>ВЛ-10кВ "Пионерская - Щок-Карагай"</t>
  </si>
  <si>
    <t>ВЛ-10кВ "Димитрова - ЦУ"</t>
  </si>
  <si>
    <t>ВЛ-10кВ "Свердловка - Зуевка"</t>
  </si>
  <si>
    <t>ВЛ-10кВ "Свердловка - Кирзавод"</t>
  </si>
  <si>
    <t>ВЛ-10кВ "Свердловка - Зерноток"</t>
  </si>
  <si>
    <t>ВЛ-10кВ "Свердловка - ДК"</t>
  </si>
  <si>
    <t>ВЛ-10кВ "Димитрова - Комплекс"</t>
  </si>
  <si>
    <t>ВЛ-10кВ "Димитрова - Зерноток"</t>
  </si>
  <si>
    <t>ВЛ-10кВ "Янушевка - Воробьевка"</t>
  </si>
  <si>
    <t>ВЛ-10кВ "Большая Чураковка - Ново-Николаевка"</t>
  </si>
  <si>
    <t>ВЛ-10кВ "Большая Чураковка - Райцентр"</t>
  </si>
  <si>
    <t>ВЛ-10кВ "Большая Чураковка - Осиповка"</t>
  </si>
  <si>
    <t>ВЛ-10кВ "Силантьевка - Кирзавод"</t>
  </si>
  <si>
    <t>ВЛ-10кВ "Силантьевка - Бирюковка"</t>
  </si>
  <si>
    <t>ВЛ-10кВ "Силантьевка - ЦУ"</t>
  </si>
  <si>
    <t>ВЛ-10кВ "Силантьевка - Ретранслятор"</t>
  </si>
  <si>
    <t>ВЛ-10кВ "Силантьевка - Райцентр"</t>
  </si>
  <si>
    <t>ВЛ-10кВ "Силантьевка - Зерноток"</t>
  </si>
  <si>
    <t>ВЛ-10кВ "Силантьевка - Кормоцех"</t>
  </si>
  <si>
    <t>ВЛ-10кВ "Большая Чураковка - УВС"</t>
  </si>
  <si>
    <t>ВЛ-10кВ "Ново-Алексеевка - Анновка"</t>
  </si>
  <si>
    <t>ВЛ-10кВ "Ново-Алексеевка - УВС"</t>
  </si>
  <si>
    <t>ВЛ-10кВ "Ново-Алексеевка - ЦУ"</t>
  </si>
  <si>
    <t>ВЛ-10кВ "Приозерная - Кубековка"</t>
  </si>
  <si>
    <t>ВЛ-10кВ "Приозерная - Школа"</t>
  </si>
  <si>
    <t>ВЛ-10кВ "Ново-Алексеевка - Мастерские"</t>
  </si>
  <si>
    <t>ВЛ-10кВ "Большая Чураковка - ЦУ"</t>
  </si>
  <si>
    <t>ВЛ-10кВ "Приозерная - Базы"</t>
  </si>
  <si>
    <t>ВЛ-10кВ "Приозерная - ЦУ"</t>
  </si>
  <si>
    <t>ВЛ-10кВ "Большая Чураковка - Водозабор"</t>
  </si>
  <si>
    <t>ВЛ-10кВ "Лермонтова-Кызыл-Аскер-Степной"</t>
  </si>
  <si>
    <t>ВЛ-10кВ "Лермонтова - УВС"</t>
  </si>
  <si>
    <t>ВЛ-10кВ "Докучаева - Беляевка"</t>
  </si>
  <si>
    <t>ВЛ-10кВ "Докучаева - Каргалы"</t>
  </si>
  <si>
    <t>ВЛ-10кВ "Докучаева - ЦУ"</t>
  </si>
  <si>
    <t>ВЛ-10кВ "Лермонтова - Степная"</t>
  </si>
  <si>
    <t>ВЛ-10кВ "Степная - ЦУ"</t>
  </si>
  <si>
    <t>Мендыкаринский РЭС</t>
  </si>
  <si>
    <t>ВЛ-10кВ Буденовка — МТМ</t>
  </si>
  <si>
    <t>ВЛ-10кВ Буденовка — Ц/усадьба</t>
  </si>
  <si>
    <t>ВЛ-10кВ Буденовка — Кызыл-Ту</t>
  </si>
  <si>
    <t>ВЛ-10кВ Введенка — Поселок</t>
  </si>
  <si>
    <t>ВЛ-10кВ Введенка — Шептыккуль</t>
  </si>
  <si>
    <t>ВЛ-10кВ Введенка — Кормоцех</t>
  </si>
  <si>
    <t>ВЛ-10кВ Введенка -Ц/усадьба</t>
  </si>
  <si>
    <t>ВЛ-10кВ Молодежная — Машдвор</t>
  </si>
  <si>
    <t>ВЛ-10кВ Молодежная — Луговое</t>
  </si>
  <si>
    <t>ВЛ-10кВ Молодежная — Фермы</t>
  </si>
  <si>
    <t>ВЛ-10кВ Молодежная — Алешинка</t>
  </si>
  <si>
    <t>ВЛ-10кВ Красная Пресня — Ц/Усадьба</t>
  </si>
  <si>
    <t>ВЛ-10кВ Красная Пресня — Стройучасток</t>
  </si>
  <si>
    <t>ВЛ-10кВ Красная Пресня — ХПП</t>
  </si>
  <si>
    <t>ВЛ-10кВ Красная Пресня — з/ток</t>
  </si>
  <si>
    <t>ВЛ-10кВ Красная Пресня — МТМ</t>
  </si>
  <si>
    <t>ВЛ-10кВ Красная Пресня — К. Цех</t>
  </si>
  <si>
    <t>ВЛ-10кВ Красная Пресня -Молодежный</t>
  </si>
  <si>
    <t>ВЛ-10кВ Балыкты -Лоба</t>
  </si>
  <si>
    <t>ВЛ-10кВ Балыкты — Талапкер</t>
  </si>
  <si>
    <t>ВЛ-10кВ Балыкты — Поселок</t>
  </si>
  <si>
    <t>ВЛ-10кВ Ломоносова — Клуб</t>
  </si>
  <si>
    <t>ВЛ-10кВ Ломоносова — Лютинка</t>
  </si>
  <si>
    <t>ВЛ-10кВ Ломоносово — Коктерек</t>
  </si>
  <si>
    <t>ВЛ-10кВ Ломоносова — З/ток</t>
  </si>
  <si>
    <t>ВЛ-10кВ Ломоносово — Элеватор</t>
  </si>
  <si>
    <t>ВЛ-10кВ Тениз -Новостройка</t>
  </si>
  <si>
    <t>ВЛ-10кВ Тениз — З/ток</t>
  </si>
  <si>
    <t>ВЛ-10кВ Тениз — Ц/У</t>
  </si>
  <si>
    <t>ВЛ-10кВ Тениз -Ново-Николаквка</t>
  </si>
  <si>
    <t>ВЛ-10кВ Степановка — Хознужды</t>
  </si>
  <si>
    <t>ВЛ-10кВ Степановка — Поселок</t>
  </si>
  <si>
    <t>ВЛ-10кВ Степановка — ХПП</t>
  </si>
  <si>
    <t>ВЛ-10кВ Степановка — Михайловка</t>
  </si>
  <si>
    <t>ВЛ-10кВ Степановка — Архиповка</t>
  </si>
  <si>
    <t>ВЛ-10кВ Степановка — Зерноток</t>
  </si>
  <si>
    <t>ВЛ-10кВ Боровская — Ивановка -Чернышевка</t>
  </si>
  <si>
    <t>ВЛ-10кВ Узун- Агаш — Каражар</t>
  </si>
  <si>
    <t>ВЛ-10кВ Узун-Агаш — Ц/усадьба</t>
  </si>
  <si>
    <t>ВЛ-10кВ Узын-Агаш — Фермы</t>
  </si>
  <si>
    <t>ВЛ-10кВ Узын-Агаш — Туленгут</t>
  </si>
  <si>
    <t>ВЛ-10кВ Узын-Агаш — Жаркаин</t>
  </si>
  <si>
    <t>ВЛ-10кВ Борки — Ц/Усадьба</t>
  </si>
  <si>
    <t>ВЛ-10кВ Борки — Школа</t>
  </si>
  <si>
    <t>ВЛ-10кВ Борки — З/ток</t>
  </si>
  <si>
    <t>ВЛ-10кВ Борки — Татьяновка</t>
  </si>
  <si>
    <t>ВЛ-10кВ Борки — Абай</t>
  </si>
  <si>
    <t>ВЛ-10кВ Борки — Новоборки</t>
  </si>
  <si>
    <t>ВЛ-10кВ Борки — Никитинка</t>
  </si>
  <si>
    <t>ВЛ-10кВ Каменск-Уральская — Зерноток</t>
  </si>
  <si>
    <t>ВЛ-10кВ Каменск-Уральская — Ц/У</t>
  </si>
  <si>
    <t>ВЛ-10кВ Каменск-Уральская —Ак-Сирак</t>
  </si>
  <si>
    <t>ВЛ-10кВ Каменск-Уральская — МТМ</t>
  </si>
  <si>
    <t>ВЛ-10кВ Каменск-Уральская — Джусалы</t>
  </si>
  <si>
    <t>ВЛ-10кв «Харьковская — Сосна»</t>
  </si>
  <si>
    <t>ВЛ-10кв «Харьковская — Ц/У»</t>
  </si>
  <si>
    <t>ВЛ-10кв «Харьковская — Зерноток»</t>
  </si>
  <si>
    <t>ВЛ-10кв «Харьковская — Приозерныйк»</t>
  </si>
  <si>
    <t>ВЛ-10кВ «Аксуат — РРС»</t>
  </si>
  <si>
    <t>ВЛ-10кВ «Аксуат — Поселок»</t>
  </si>
  <si>
    <t>ВЛ-10кВ «Боровская — Тубсанаторий»</t>
  </si>
  <si>
    <t>ВЛ-10кВ «Боровская — Интернат»</t>
  </si>
  <si>
    <t>ВЛ-10кВ «Боровская — Райцентр»</t>
  </si>
  <si>
    <t>ВЛ-10кВ «Боровская -Школа, - Районная»</t>
  </si>
  <si>
    <t>ВЛ-10кВ «Боровская — Водозабор»</t>
  </si>
  <si>
    <t>ВЛ-10кВ «Боровская — Скважины»</t>
  </si>
  <si>
    <t>ВЛ-10кВ «Боровская — Лесхоз»</t>
  </si>
  <si>
    <t>ВЛ-10кВ «Боровская — Откормсовхоз»</t>
  </si>
  <si>
    <t>ВЛ-10кВ «Районная — Комплекс»</t>
  </si>
  <si>
    <t>ВЛ-10кВ «Районная — Поликлиника»</t>
  </si>
  <si>
    <t>ВЛ-10кВ «Районная — Боровской с/х»</t>
  </si>
  <si>
    <t>ВЛ-10кВ «Районная — ХПП 2»</t>
  </si>
  <si>
    <t>ВЛ-10кВ «Районная — Маслозавод»</t>
  </si>
  <si>
    <t>ВЛ-10кВ «Районная — ХПП 1»</t>
  </si>
  <si>
    <t>ВЛ-10кВ «Районная — Русское»</t>
  </si>
  <si>
    <t>ВЛ-10кВ «Долбушка — З/ток»</t>
  </si>
  <si>
    <t>ВЛ-10кВ «Долбушка — Маковка»</t>
  </si>
  <si>
    <t>Сарыкольский РЭС</t>
  </si>
  <si>
    <t>ВЛ-10кВ "Урицк - КМ"</t>
  </si>
  <si>
    <t>ВЛ-10кВ "Урицк - Школа"</t>
  </si>
  <si>
    <t>ВЛ-10кВ "Урицк - Автостанция"</t>
  </si>
  <si>
    <t>ВЛ-10кВ "Урицк - Молзавод"</t>
  </si>
  <si>
    <t>ВЛ-10кВ "Урицк - Ворошилова"</t>
  </si>
  <si>
    <t>ВЛ-10кВ "Урицк - Нефтебаза"</t>
  </si>
  <si>
    <t>ВЛ-10кВ "Урицк - Элеватор"</t>
  </si>
  <si>
    <t>ВЛ-10кВ "Сорочинская - ЦУ СХТ"</t>
  </si>
  <si>
    <t>ВЛ-10кВ "Сорочинская - КМ"</t>
  </si>
  <si>
    <t>ВЛ-10кВ "Сорочинская - г.п. Урицк"</t>
  </si>
  <si>
    <t>ВЛ-10кВ "Сорочонская - Комплекс"</t>
  </si>
  <si>
    <t>ВЛ-10кВ "Барвиновка - Поселок"</t>
  </si>
  <si>
    <t>ВЛ-10кВ "Барвиновка - Кормоцех"</t>
  </si>
  <si>
    <t>ВЛ-10кВ "Барвиновка - Минский"</t>
  </si>
  <si>
    <t>ВЛ-10кВ "Краснодон - ЦУ"</t>
  </si>
  <si>
    <t>ВЛ-10кВ "Краснодон - Сосновка"</t>
  </si>
  <si>
    <t>ВЛ-10кВ "Краснодон - АЗС"</t>
  </si>
  <si>
    <t>ВЛ-10кВ "Маяк - ЦУ"</t>
  </si>
  <si>
    <t>ВЛ-10кВ "Маяк - Производство"</t>
  </si>
  <si>
    <t>ВЛ-10кВ "Маяк - Гараж"</t>
  </si>
  <si>
    <t>ВЛ-10кВ "Маяк - Бас-Агаш"</t>
  </si>
  <si>
    <t>ВЛ-10кВ "Тимирязева - ЦУ"</t>
  </si>
  <si>
    <t>ВЛ-10кВ "Тимирязева - Зерноток"</t>
  </si>
  <si>
    <t>ВЛ-10кВ "Тимирязева - Спасский"</t>
  </si>
  <si>
    <t>ВЛ-10кВ "Тимирязева - Целинный"</t>
  </si>
  <si>
    <t>ВЛ-10кВ "Транзитная - Тимирязева"</t>
  </si>
  <si>
    <t>ВЛ-10кВ "Урожайная - ЦУ"</t>
  </si>
  <si>
    <t>ВЛ-10кВ "Урожайная - Акчекуль"</t>
  </si>
  <si>
    <t>ВЛ-10кВ "Комсомольская - Поселок"</t>
  </si>
  <si>
    <t>ВЛ-10кВ "Комсомольская - Производство"</t>
  </si>
  <si>
    <t>ВЛ-10кВ "Комсомольская -МТМ"</t>
  </si>
  <si>
    <t>ВЛ-10кВ "Комсомольская - Чапаевка"</t>
  </si>
  <si>
    <t>ВЛ-10кВ "Комсомольская - Насосная"</t>
  </si>
  <si>
    <t>ВЛ-10кВ "Косколь - Ленинский"</t>
  </si>
  <si>
    <t>ВЛ-10кВ "Косколь - ХПП 1"</t>
  </si>
  <si>
    <t>ВЛ-10кВ "Косколь - ХПП 2"</t>
  </si>
  <si>
    <t>ВЛ-10кВ "Севастопольская - Ново-Дудаковка - Суналы"</t>
  </si>
  <si>
    <t>ВЛ-10кВ "Сорочинская - Мелитополь"</t>
  </si>
  <si>
    <t>ВЛ-10кВ "Крыловка - ЦУ"</t>
  </si>
  <si>
    <t>ВЛ-10кВ "Крыловка - Кормоцех"</t>
  </si>
  <si>
    <t>ВЛ-10кВ "Крыловка - Кара-Оба"</t>
  </si>
  <si>
    <t>ВЛ-10кВ "Краснознаменская - Мастерские"</t>
  </si>
  <si>
    <t>ВЛ-10кВ "Краснознаменская - Насосная"</t>
  </si>
  <si>
    <t>ВЛ-10кВ "Севастопольская - ЦУ"</t>
  </si>
  <si>
    <t>ВЛ-10кВ "Севастопольская - Производство"</t>
  </si>
  <si>
    <t>ВЛ-10кВ "Севастопольская - Дубинка"</t>
  </si>
  <si>
    <t>ВЛ-10кВ "Севастопольская - РЭУ-6"</t>
  </si>
  <si>
    <t>ВЛ-10кВ "Ленинградская - ЦУ"</t>
  </si>
  <si>
    <t>ВЛ-10кВ "Лениградская - МТМ"</t>
  </si>
  <si>
    <t>ВЛ-10кВ "Ленинградская - Кара-Чилик"</t>
  </si>
  <si>
    <t>ВЛ-10кВ "Тагильская - ЦУ"</t>
  </si>
  <si>
    <t>ВЛ-10кВ "Тагилская - Мастерские"</t>
  </si>
  <si>
    <t>ВЛ-10кВ "Тагильская - Ермаковка"</t>
  </si>
  <si>
    <t>ВЛ-10кВ "Веселый Подол - ЦУ"</t>
  </si>
  <si>
    <t>ВЛ-10кВ "Веселый Подол - Мастерские"</t>
  </si>
  <si>
    <t>ВЛ-10кВ "Веселый Подол - Машдвор"</t>
  </si>
  <si>
    <t>ВЛ-10кВ "Веселый Подол - ХПП"</t>
  </si>
  <si>
    <t>ВЛ-10кВ "Веселый Подол - Ананьевка"</t>
  </si>
  <si>
    <t>ВЛ-10кВ "Лесная - Поселок"</t>
  </si>
  <si>
    <t>ВЛ-10кВ "Лесная - Зерноток"</t>
  </si>
  <si>
    <t>ВЛ-10кВ "Лесная - Ковалевка"</t>
  </si>
  <si>
    <t>Узункольский РЭС</t>
  </si>
  <si>
    <t>ВЛ-10кВ "К. Маркса - Поселок"</t>
  </si>
  <si>
    <t>ВЛ-10кВ "Калининская - Поселок"</t>
  </si>
  <si>
    <t>ВЛ-10кВ "Калининская - Укаткан"</t>
  </si>
  <si>
    <t>ВЛ-10кВ "Калининская - Энгельса"</t>
  </si>
  <si>
    <t>ВЛ-10кВ "Сибирка - Поселок"</t>
  </si>
  <si>
    <t>ВЛ-10кВ "Калининская - Моховое"</t>
  </si>
  <si>
    <t>ВЛ-10кВ "Ленинская - Есмурза"</t>
  </si>
  <si>
    <t>ВЛ-10кВ "Моховое - Зерноток"</t>
  </si>
  <si>
    <t>ВЛ-10кВ "Моховое - Ксеньевка"</t>
  </si>
  <si>
    <t>ВЛ-10кВ "Моховое - Россия"</t>
  </si>
  <si>
    <t>ВЛ-10кВ "Моховое - ЦУ"</t>
  </si>
  <si>
    <t>ВЛ-10кВ "Россия - Убаган"</t>
  </si>
  <si>
    <t>ВЛ-10кВ "Россия - Машдвор"</t>
  </si>
  <si>
    <t>ВЛ-10кВ "Россия - Березово"</t>
  </si>
  <si>
    <t>ВЛ-10кВ "Куйбышева - Зерноток"</t>
  </si>
  <si>
    <t>ВЛ-10кВ "Куйбышева - Каратал"</t>
  </si>
  <si>
    <t>ВЛ-10кВ "Куйбышева - ЦУ"</t>
  </si>
  <si>
    <t>ВЛ-10кВ "Новопокровка - Вершковое"</t>
  </si>
  <si>
    <t>ВЛ-10кВ "Новопокровка - Куйбышева"</t>
  </si>
  <si>
    <t>ВЛ-10кВ "Новопокровка - Мастерские"</t>
  </si>
  <si>
    <t>ВЛ-10кВ "Новопокровка - Нововасильевка"</t>
  </si>
  <si>
    <t>ВЛ-10кВ "Новопокровка - Уйкескен"</t>
  </si>
  <si>
    <t>ВЛ-10кВ "Новопокровка - Фермы"</t>
  </si>
  <si>
    <t>ВЛ-10кВ "Новопокровка - ЦУ"</t>
  </si>
  <si>
    <t>ВЛ-10кВ "Белоглинка - Комендантское"</t>
  </si>
  <si>
    <t>ВЛ-10кВ "Белоглинка - Мастерские"</t>
  </si>
  <si>
    <t>ВЛ-10кВ "Белоглинка - Починовка"</t>
  </si>
  <si>
    <t>ВЛ-10кВ "Белоглинка - ЦУ"</t>
  </si>
  <si>
    <t>ВЛ-10кВ "Пресногорьковка - Гренадерка"</t>
  </si>
  <si>
    <t>ВЛ-10кВ "Пресногорьковка - Маслозавод"</t>
  </si>
  <si>
    <t>ВЛ-10кВ "Пресногорьковка - Школа"</t>
  </si>
  <si>
    <t>ВЛ-10кВ "Сибирка - Крутоярка"</t>
  </si>
  <si>
    <t>ВЛ-10кВ "Арзамасская - Зерноток"</t>
  </si>
  <si>
    <t>ВЛ-10кВ "Арзамасская - Мастерские"</t>
  </si>
  <si>
    <t>ВЛ-10кВ "Арзамасская - Фермы"</t>
  </si>
  <si>
    <t>ВЛ-10кВ "Киевская - Ершовка"</t>
  </si>
  <si>
    <t>ВЛ-10кВ "Ершовка - Кормоцех"</t>
  </si>
  <si>
    <t>ВЛ-10кВ "Ершовская- ХПП"</t>
  </si>
  <si>
    <t>ВЛ-10кВ "Ершовкская - ЦУ"</t>
  </si>
  <si>
    <t>ВЛ-10кВ "Киевская - Коскуль"</t>
  </si>
  <si>
    <t>ВЛ-10кВ "Киевская - Миролюбовка"</t>
  </si>
  <si>
    <t>ВЛ-10кВ "Киевская - Отынагаш"</t>
  </si>
  <si>
    <t>ВЛ-10кВ "Ленинская - Арзамасская"</t>
  </si>
  <si>
    <t>ВЛ-10кВ "Ленинская - Больница"</t>
  </si>
  <si>
    <t>ВЛ-10кВ "Ленинская - Водники"</t>
  </si>
  <si>
    <t>ВЛ-10кВ "Ленинская - ДК"</t>
  </si>
  <si>
    <t>ВЛ-10кВ "Ленинская - Райцентр"</t>
  </si>
  <si>
    <t>ВЛ-10кВ "Ленинская - Телецентр"</t>
  </si>
  <si>
    <t>ВЛ-10кВ "Ленинская - Хлебзавод"</t>
  </si>
  <si>
    <t>ВЛ-10кВ "Ленинская - ХПП"</t>
  </si>
  <si>
    <t>ВЛ-10кВ "Ленинская - Школа"</t>
  </si>
  <si>
    <t>ВЛ-10кВ "Баумана - Буркай"</t>
  </si>
  <si>
    <t>ВЛ-10кВ "Баумана - Каратомар"</t>
  </si>
  <si>
    <t>ВЛ-10кВ "Баумана - Королевка"</t>
  </si>
  <si>
    <t>ВЛ-10кВ "Баймана - ЦУ"</t>
  </si>
  <si>
    <t>ВЛ-10кВ "Чапаево - Амречье"</t>
  </si>
  <si>
    <t>ВЛ-10кВ "Чапаево - Мастерские"</t>
  </si>
  <si>
    <t>ВЛ-10кВ "Чапаево - ЦУ"</t>
  </si>
  <si>
    <t>ВЛ-10кВ "Троебратное - Пилкино"</t>
  </si>
  <si>
    <t>ВЛ-10кВ "Троебратное - Камышловка"</t>
  </si>
  <si>
    <t>ВЛ-10кВ "Суворова - ЦУ"</t>
  </si>
  <si>
    <t>ВЛ-10кВ "Суворова - Мастерские"</t>
  </si>
  <si>
    <t>ВЛ-10кВ "Троебратное - ЦУ"</t>
  </si>
  <si>
    <t>ВЛ-10кВ «Джаркуль — Больница»</t>
  </si>
  <si>
    <t>ВЛ-10кВ «Джаркуль — Госбанк»</t>
  </si>
  <si>
    <t>ВЛ-10кВ «Джаркуль — Детсад»</t>
  </si>
  <si>
    <t>ВЛ-10кВ «Джаркуль — Котельная»</t>
  </si>
  <si>
    <t>ВЛ-10кВ «Джаркуль — Федоровка 1»</t>
  </si>
  <si>
    <t>ВЛ-10кВ «Джаркуль — Федоровка 2»</t>
  </si>
  <si>
    <t>ВЛ-10кВ «Джаркуль — Хлебозавод»</t>
  </si>
  <si>
    <t>ВЛ-10кВ «Федоровка — Город 1»</t>
  </si>
  <si>
    <t>ВЛ-10кВ "Федоровка - Город 2"</t>
  </si>
  <si>
    <t>ВЛ-10кВ "Федоровка - Нефтебаза"</t>
  </si>
  <si>
    <t>ВЛ-10кВ "Федоровка - Телецентр"</t>
  </si>
  <si>
    <t>ВЛ-10кВ "Джаркуль - Жарколь"</t>
  </si>
  <si>
    <t>ВЛ-10кВ "Чеховка - Банновка"</t>
  </si>
  <si>
    <t>ВЛ-10кВ "Чеховка - Больница"</t>
  </si>
  <si>
    <t>ВЛ-10кВ "Чеховка - Животноводство"</t>
  </si>
  <si>
    <t>ВЛ-10кВ "Чеховка - Комплекс"</t>
  </si>
  <si>
    <t>ВЛ-10кВ "Чеховка - Мехдойка"</t>
  </si>
  <si>
    <t>ВЛ-10кВ "Чеховка - Цабелевка"</t>
  </si>
  <si>
    <t>ВЛ-10кВ "Байгора - Жанахай"</t>
  </si>
  <si>
    <t>ВЛ-10кВ "Байгора - МТМ"</t>
  </si>
  <si>
    <t>ВЛ-10кВ "Байгора - Заозерное"</t>
  </si>
  <si>
    <t>ВЛ-10кВ "Байгора - ХПП"</t>
  </si>
  <si>
    <t>ВЛ-10кВ "Байгора - ЦУ"</t>
  </si>
  <si>
    <t>ВЛ-10кВ "Вишневая - МТМ"</t>
  </si>
  <si>
    <t>ВЛ-10кВ "Вишневая - Кир. Завод"</t>
  </si>
  <si>
    <t>ВЛ-10кВ "Вишневая - Отдление №4"</t>
  </si>
  <si>
    <t>ВЛ-10кВ "Вишневая - ЦУ"</t>
  </si>
  <si>
    <t>ВЛ-10кВ "Вишневая - Уйский"</t>
  </si>
  <si>
    <t>ВЛ-10кВ "Мирная - Зерноток"</t>
  </si>
  <si>
    <t>ВЛ-10кВ "Мирная - Крамское"</t>
  </si>
  <si>
    <t>ВЛ-10кВ "Мирная - ЦУ"</t>
  </si>
  <si>
    <t>ВЛ-10кВ "Чистый Чандак - Камышное"</t>
  </si>
  <si>
    <t>ВЛ-10кВ "Чистый Чандак - ЛМУ"</t>
  </si>
  <si>
    <t>ВЛ-10кВ "Чистый Чандак - МТМ"</t>
  </si>
  <si>
    <t>ВЛ-10кВ "Чистый Чандак - Северное"</t>
  </si>
  <si>
    <t>ВЛ-10кВ "Чистый Чандак - ЦУ"</t>
  </si>
  <si>
    <t>ВЛ-10кВ "Костряковка - Волковка"</t>
  </si>
  <si>
    <t>ВЛ-10кВ "Костряковка - Ивангородка"</t>
  </si>
  <si>
    <t>ВЛ-10кВ "Костряковка - МТМ"</t>
  </si>
  <si>
    <t>ВЛ-10кВ "Костряковка - Отделение 1"</t>
  </si>
  <si>
    <t>ВЛ-10кВ "Костряковка - ЦУ"</t>
  </si>
  <si>
    <t>ВЛ-10кВ "Курская - Грачевка"</t>
  </si>
  <si>
    <t>ВЛ-10кВ "Курская - Запасный"</t>
  </si>
  <si>
    <t>ВЛ-10кВ "Курская - Комплекс"</t>
  </si>
  <si>
    <t>ВЛ-10кВ "Курская - Курское"</t>
  </si>
  <si>
    <t>ВЛ-10кВ "Курская - Новоукраинка"</t>
  </si>
  <si>
    <t>ВЛ-10кВ "Новошумное - МТМ"</t>
  </si>
  <si>
    <t>ВЛ-10кВ "Новошумное - Отделение 1"</t>
  </si>
  <si>
    <t>ВЛ-10кВ "Новошумное - Стройчасть"</t>
  </si>
  <si>
    <t>ВЛ-10кВ "Новошумное - ЦУ"</t>
  </si>
  <si>
    <t>ВЛ-10кВ "Улькен Барак - Дружба"</t>
  </si>
  <si>
    <t>ВЛ-10кВ "Улькен Барак - ЦУ"</t>
  </si>
  <si>
    <t>ВЛ-10кВ "Улькен Барак - Школа"</t>
  </si>
  <si>
    <t>ВЛ-10кВ "Пешковка - Комплекс"</t>
  </si>
  <si>
    <t>ВЛ-10кВ "Пешковка - Кравцово"</t>
  </si>
  <si>
    <t>ВЛ-10кВ "Пешковка - Маслозавод"</t>
  </si>
  <si>
    <t>ВЛ-10кВ "Пешковка - МТМ"</t>
  </si>
  <si>
    <t>ВЛ-10кВ "Пешковка - Новоборисовка"</t>
  </si>
  <si>
    <t>ВЛ-10кВ "Смирновка - Полтавка"</t>
  </si>
  <si>
    <t>ВЛ-10кВ "Коржунколь - Березовка"</t>
  </si>
  <si>
    <t>ВЛ-10кВ "Коржунколь - Больница"</t>
  </si>
  <si>
    <t>ВЛ-10кВ "Коржунколь - Зерноток"</t>
  </si>
  <si>
    <t>ВЛ-10кВ"Коржунколь - Костычевка"</t>
  </si>
  <si>
    <t>ВЛ-10кВ "Малороссийка - Дубравка"</t>
  </si>
  <si>
    <t>ВЛ-10кВ "Малороссийка - Маслозавод"</t>
  </si>
  <si>
    <t>ВЛ-10кВ "Владыкинка - Владыкинка"</t>
  </si>
  <si>
    <t>ВЛ-10кВ "Владыкинка - Водозабор"</t>
  </si>
  <si>
    <t>ВЛ-10кВ "Владыкинка - Животноводство"</t>
  </si>
  <si>
    <t>ВЛ-10кВ "Владыкинка - Целинный"</t>
  </si>
  <si>
    <t>ВЛ-10кВ "Джаркуль - Александрополь"</t>
  </si>
  <si>
    <t>ВЛ-10кВ "Успеновка - Комплекс"</t>
  </si>
  <si>
    <t>ВЛ-10кВ "Успеновка - Воронежский"</t>
  </si>
  <si>
    <t>ВЛ-10кВ "Успеновка - Успеновка"</t>
  </si>
  <si>
    <t>ВЛ-10кВ "Кенеральская - Байкино"</t>
  </si>
  <si>
    <t>ВЛ-10кВ "Кенеральская - Больница"</t>
  </si>
  <si>
    <t>ВЛ-10кВ "Кенеральская - Жиланды"</t>
  </si>
  <si>
    <t>ВЛ-10кВ "Кенеральская - Заря"</t>
  </si>
  <si>
    <t>ВЛ-10кВ "Кенеральская - Торагаш"</t>
  </si>
  <si>
    <t>ВЛ-10кВ "Кенеральская - ЦУ"</t>
  </si>
  <si>
    <t>ВЛ-6кВ "Перцевка - Дачи"</t>
  </si>
  <si>
    <t>ВЛ-6кВ "Промплощадка - Валерьяновка"</t>
  </si>
  <si>
    <t>баланс за дек20г</t>
  </si>
  <si>
    <t>ВЛ-10кВ "Приречная-Ц.ус-ба"2</t>
  </si>
  <si>
    <t>ВЛ-10кВ "Приречная-Ц.ус-ба"1</t>
  </si>
  <si>
    <t>ВЛ-10кВ "Пресногорьковка - Больница"</t>
  </si>
  <si>
    <t>ВЛ-10кВ "Пресногорьковка - Лески"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</si>
</sst>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zoomScale="130" zoomScaleNormal="100" zoomScaleSheetLayoutView="13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B25" sqref="B25"/>
    </sheetView>
  </sheetViews>
  <sheetFormatPr defaultColWidth="9.140625" defaultRowHeight="15"/>
  <cols>
    <col min="1" max="1" width="7.5703125" style="4" customWidth="1"/>
    <col min="2" max="2" width="36.42578125" style="3" customWidth="1"/>
    <col min="3" max="3" width="17.140625" style="4" customWidth="1"/>
    <col min="4" max="4" width="10.7109375" style="4" customWidth="1"/>
    <col min="5" max="5" width="12.28515625" style="4" customWidth="1"/>
    <col min="6" max="6" width="14" style="3" customWidth="1"/>
    <col min="7" max="7" width="11.85546875" style="3" customWidth="1"/>
    <col min="8" max="8" width="11.42578125" style="3" customWidth="1"/>
    <col min="9" max="16384" width="9.140625" style="3"/>
  </cols>
  <sheetData>
    <row r="1" spans="1:10" ht="71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>
      <c r="A2" s="16" t="s">
        <v>8</v>
      </c>
      <c r="B2" s="16"/>
      <c r="C2" s="16"/>
      <c r="D2" s="16"/>
      <c r="E2" s="16"/>
      <c r="F2" s="16"/>
      <c r="G2" s="16"/>
      <c r="H2" s="16"/>
    </row>
    <row r="3" spans="1:10">
      <c r="A3" s="5">
        <v>1</v>
      </c>
      <c r="B3" s="6" t="s">
        <v>9</v>
      </c>
      <c r="C3" s="5">
        <v>3.8130000000000002</v>
      </c>
      <c r="D3" s="5">
        <v>95</v>
      </c>
      <c r="E3" s="5">
        <v>10</v>
      </c>
      <c r="F3" s="7">
        <v>3.6206457405936421</v>
      </c>
      <c r="G3" s="6">
        <v>0.03</v>
      </c>
      <c r="H3" s="9">
        <f>F3-G3</f>
        <v>3.5906457405936423</v>
      </c>
    </row>
    <row r="4" spans="1:10">
      <c r="A4" s="5">
        <v>2</v>
      </c>
      <c r="B4" s="6" t="s">
        <v>10</v>
      </c>
      <c r="C4" s="5">
        <v>3.7639999999999998</v>
      </c>
      <c r="D4" s="5">
        <v>70</v>
      </c>
      <c r="E4" s="5">
        <v>10</v>
      </c>
      <c r="F4" s="7">
        <v>2.6912665591876221</v>
      </c>
      <c r="G4" s="6">
        <v>0.17</v>
      </c>
      <c r="H4" s="9">
        <f t="shared" ref="H4:H41" si="0">F4-G4</f>
        <v>2.5212665591876222</v>
      </c>
    </row>
    <row r="5" spans="1:10">
      <c r="A5" s="5">
        <v>3</v>
      </c>
      <c r="B5" s="6" t="s">
        <v>11</v>
      </c>
      <c r="C5" s="5">
        <v>1.8280000000000001</v>
      </c>
      <c r="D5" s="5">
        <v>70</v>
      </c>
      <c r="E5" s="5">
        <v>10</v>
      </c>
      <c r="F5" s="7">
        <v>4.2177400000000009</v>
      </c>
      <c r="G5" s="6">
        <f>1.34+0.009+0.009</f>
        <v>1.3579999999999999</v>
      </c>
      <c r="H5" s="9">
        <f t="shared" si="0"/>
        <v>2.8597400000000013</v>
      </c>
    </row>
    <row r="6" spans="1:10">
      <c r="A6" s="5">
        <v>4</v>
      </c>
      <c r="B6" s="6" t="s">
        <v>12</v>
      </c>
      <c r="C6" s="5">
        <v>2.125</v>
      </c>
      <c r="D6" s="5">
        <v>95</v>
      </c>
      <c r="E6" s="5">
        <v>10</v>
      </c>
      <c r="F6" s="7">
        <v>5.2522800000000007</v>
      </c>
      <c r="G6" s="6">
        <f>0.08+0.0287</f>
        <v>0.1087</v>
      </c>
      <c r="H6" s="9">
        <f t="shared" si="0"/>
        <v>5.1435800000000009</v>
      </c>
    </row>
    <row r="7" spans="1:10">
      <c r="A7" s="5">
        <v>5</v>
      </c>
      <c r="B7" s="6" t="s">
        <v>13</v>
      </c>
      <c r="C7" s="5">
        <v>2.0379999999999998</v>
      </c>
      <c r="D7" s="5">
        <v>70</v>
      </c>
      <c r="E7" s="5">
        <v>10</v>
      </c>
      <c r="F7" s="7">
        <v>4.2177400000000009</v>
      </c>
      <c r="G7" s="6">
        <f>0.25+0.009</f>
        <v>0.25900000000000001</v>
      </c>
      <c r="H7" s="9">
        <f t="shared" si="0"/>
        <v>3.958740000000001</v>
      </c>
    </row>
    <row r="8" spans="1:10">
      <c r="A8" s="5">
        <v>6</v>
      </c>
      <c r="B8" s="6" t="s">
        <v>14</v>
      </c>
      <c r="C8" s="5">
        <v>2.1</v>
      </c>
      <c r="D8" s="5">
        <v>50</v>
      </c>
      <c r="E8" s="5">
        <v>10</v>
      </c>
      <c r="F8" s="7">
        <v>3.3423600000000007</v>
      </c>
      <c r="G8" s="6">
        <v>1.24</v>
      </c>
      <c r="H8" s="9">
        <f t="shared" si="0"/>
        <v>2.1023600000000009</v>
      </c>
    </row>
    <row r="9" spans="1:10">
      <c r="A9" s="5">
        <v>7</v>
      </c>
      <c r="B9" s="6" t="s">
        <v>15</v>
      </c>
      <c r="C9" s="5">
        <v>2.992</v>
      </c>
      <c r="D9" s="5">
        <v>95</v>
      </c>
      <c r="E9" s="5">
        <v>10</v>
      </c>
      <c r="F9" s="7">
        <v>4.6141451232899593</v>
      </c>
      <c r="G9" s="9">
        <f>0.724+0.009+0.0624+0.009+0.009</f>
        <v>0.81340000000000001</v>
      </c>
      <c r="H9" s="9">
        <f t="shared" si="0"/>
        <v>3.8007451232899592</v>
      </c>
      <c r="J9" s="17"/>
    </row>
    <row r="10" spans="1:10">
      <c r="A10" s="5">
        <v>8</v>
      </c>
      <c r="B10" s="6" t="s">
        <v>16</v>
      </c>
      <c r="C10" s="5">
        <v>1.9</v>
      </c>
      <c r="D10" s="5">
        <v>70</v>
      </c>
      <c r="E10" s="5">
        <v>10</v>
      </c>
      <c r="F10" s="7">
        <v>4.2177400000000009</v>
      </c>
      <c r="G10" s="10">
        <f>0.02+0.00987+0.0006+0.009+0.009+0.005</f>
        <v>5.3469999999999997E-2</v>
      </c>
      <c r="H10" s="9">
        <f t="shared" si="0"/>
        <v>4.164270000000001</v>
      </c>
      <c r="J10" s="17"/>
    </row>
    <row r="11" spans="1:10">
      <c r="A11" s="5">
        <v>9</v>
      </c>
      <c r="B11" s="6" t="s">
        <v>17</v>
      </c>
      <c r="C11" s="5">
        <v>2.1549999999999998</v>
      </c>
      <c r="D11" s="5">
        <v>95</v>
      </c>
      <c r="E11" s="5">
        <v>10</v>
      </c>
      <c r="F11" s="7">
        <v>5.2522800000000007</v>
      </c>
      <c r="G11" s="6">
        <v>0.78100000000000003</v>
      </c>
      <c r="H11" s="9">
        <f t="shared" si="0"/>
        <v>4.471280000000001</v>
      </c>
      <c r="J11" s="17"/>
    </row>
    <row r="12" spans="1:10">
      <c r="A12" s="5">
        <v>10</v>
      </c>
      <c r="B12" s="6" t="s">
        <v>18</v>
      </c>
      <c r="C12" s="5">
        <v>3.472</v>
      </c>
      <c r="D12" s="5">
        <v>70</v>
      </c>
      <c r="E12" s="5">
        <v>10</v>
      </c>
      <c r="F12" s="7">
        <v>2.9176057974603138</v>
      </c>
      <c r="G12" s="9">
        <f>0.34+0.009+0.0357+0.0098+0.009+0.009</f>
        <v>0.41250000000000003</v>
      </c>
      <c r="H12" s="9">
        <f t="shared" si="0"/>
        <v>2.5051057974603137</v>
      </c>
    </row>
    <row r="13" spans="1:10">
      <c r="A13" s="5">
        <v>11</v>
      </c>
      <c r="B13" s="6" t="s">
        <v>19</v>
      </c>
      <c r="C13" s="5">
        <v>1.1399999999999999</v>
      </c>
      <c r="D13" s="5">
        <v>70</v>
      </c>
      <c r="E13" s="5">
        <v>10</v>
      </c>
      <c r="F13" s="7">
        <v>4.2177400000000009</v>
      </c>
      <c r="G13" s="6">
        <v>0.01</v>
      </c>
      <c r="H13" s="9">
        <f t="shared" si="0"/>
        <v>4.2077400000000011</v>
      </c>
    </row>
    <row r="14" spans="1:10">
      <c r="A14" s="5">
        <v>12</v>
      </c>
      <c r="B14" s="6" t="s">
        <v>20</v>
      </c>
      <c r="C14" s="5">
        <v>0.4</v>
      </c>
      <c r="D14" s="5">
        <v>70</v>
      </c>
      <c r="E14" s="5">
        <v>10</v>
      </c>
      <c r="F14" s="7">
        <v>4.2177400000000009</v>
      </c>
      <c r="G14" s="9">
        <f>1.14+0.007+0.00945+0.0099+0.085+0.0062+0.00992+0.009+0.009</f>
        <v>1.2854699999999994</v>
      </c>
      <c r="H14" s="9">
        <f t="shared" si="0"/>
        <v>2.9322700000000017</v>
      </c>
    </row>
    <row r="15" spans="1:10">
      <c r="A15" s="5">
        <v>13</v>
      </c>
      <c r="B15" s="6" t="s">
        <v>21</v>
      </c>
      <c r="C15" s="5">
        <v>0.28999999999999998</v>
      </c>
      <c r="D15" s="5">
        <v>70</v>
      </c>
      <c r="E15" s="5">
        <v>10</v>
      </c>
      <c r="F15" s="7">
        <v>4.2177400000000009</v>
      </c>
      <c r="G15" s="9">
        <f>0.57+0.06084+0.00534+0.0095</f>
        <v>0.64567999999999992</v>
      </c>
      <c r="H15" s="9">
        <f t="shared" si="0"/>
        <v>3.5720600000000009</v>
      </c>
    </row>
    <row r="16" spans="1:10">
      <c r="A16" s="5">
        <v>14</v>
      </c>
      <c r="B16" s="6" t="s">
        <v>22</v>
      </c>
      <c r="C16" s="5">
        <v>0.33</v>
      </c>
      <c r="D16" s="5">
        <v>70</v>
      </c>
      <c r="E16" s="5">
        <v>10</v>
      </c>
      <c r="F16" s="7">
        <v>4.2177400000000009</v>
      </c>
      <c r="G16" s="9">
        <f>0.65+0.009+0.035+0.034+0.00981+0.04005</f>
        <v>0.77786000000000011</v>
      </c>
      <c r="H16" s="9">
        <f t="shared" si="0"/>
        <v>3.4398800000000009</v>
      </c>
    </row>
    <row r="17" spans="1:8">
      <c r="A17" s="5">
        <v>15</v>
      </c>
      <c r="B17" s="6" t="s">
        <v>23</v>
      </c>
      <c r="C17" s="5">
        <v>1.528</v>
      </c>
      <c r="D17" s="5">
        <v>95</v>
      </c>
      <c r="E17" s="5">
        <v>10</v>
      </c>
      <c r="F17" s="7">
        <v>5.2522800000000007</v>
      </c>
      <c r="G17" s="6">
        <v>0.16</v>
      </c>
      <c r="H17" s="9">
        <f t="shared" si="0"/>
        <v>5.0922800000000006</v>
      </c>
    </row>
    <row r="18" spans="1:8">
      <c r="A18" s="5">
        <v>16</v>
      </c>
      <c r="B18" s="6" t="s">
        <v>24</v>
      </c>
      <c r="C18" s="5">
        <v>1.528</v>
      </c>
      <c r="D18" s="5">
        <v>95</v>
      </c>
      <c r="E18" s="5">
        <v>10</v>
      </c>
      <c r="F18" s="7">
        <v>5.2522800000000007</v>
      </c>
      <c r="G18" s="6">
        <v>0.16</v>
      </c>
      <c r="H18" s="9">
        <f t="shared" si="0"/>
        <v>5.0922800000000006</v>
      </c>
    </row>
    <row r="19" spans="1:8">
      <c r="A19" s="5">
        <v>17</v>
      </c>
      <c r="B19" s="6" t="s">
        <v>25</v>
      </c>
      <c r="C19" s="5">
        <v>0.314</v>
      </c>
      <c r="D19" s="5">
        <v>95</v>
      </c>
      <c r="E19" s="5">
        <v>10</v>
      </c>
      <c r="F19" s="7">
        <v>5.2522800000000007</v>
      </c>
      <c r="G19" s="6">
        <v>0.45</v>
      </c>
      <c r="H19" s="9">
        <f t="shared" si="0"/>
        <v>4.8022800000000005</v>
      </c>
    </row>
    <row r="20" spans="1:8">
      <c r="A20" s="5">
        <v>18</v>
      </c>
      <c r="B20" s="6" t="s">
        <v>26</v>
      </c>
      <c r="C20" s="5">
        <v>0.83599999999999997</v>
      </c>
      <c r="D20" s="5">
        <v>95</v>
      </c>
      <c r="E20" s="5">
        <v>10</v>
      </c>
      <c r="F20" s="7">
        <v>5.2522800000000007</v>
      </c>
      <c r="G20" s="9">
        <f>0.39+0.0405</f>
        <v>0.43049999999999999</v>
      </c>
      <c r="H20" s="9">
        <f t="shared" si="0"/>
        <v>4.8217800000000004</v>
      </c>
    </row>
    <row r="21" spans="1:8">
      <c r="A21" s="5">
        <v>19</v>
      </c>
      <c r="B21" s="6" t="s">
        <v>27</v>
      </c>
      <c r="C21" s="11">
        <v>0.82</v>
      </c>
      <c r="D21" s="5">
        <v>95</v>
      </c>
      <c r="E21" s="5">
        <v>10</v>
      </c>
      <c r="F21" s="7">
        <v>5.2522800000000007</v>
      </c>
      <c r="G21" s="12">
        <v>0</v>
      </c>
      <c r="H21" s="9">
        <f t="shared" si="0"/>
        <v>5.2522800000000007</v>
      </c>
    </row>
    <row r="22" spans="1:8">
      <c r="A22" s="5">
        <v>20</v>
      </c>
      <c r="B22" s="6" t="s">
        <v>28</v>
      </c>
      <c r="C22" s="5">
        <v>1.65</v>
      </c>
      <c r="D22" s="5">
        <v>70</v>
      </c>
      <c r="E22" s="5">
        <v>10</v>
      </c>
      <c r="F22" s="7">
        <v>4.2177400000000009</v>
      </c>
      <c r="G22" s="9">
        <f>0.009+0.0065+0.0099+0.009+0.009+0.009+0.0153+0.009+0.004029+0.009+0.009+0.009+0.009+0.009+0.009+0.009+0.009+0.01479+0.009+0.0065+0.009+0.009</f>
        <v>0.20101900000000003</v>
      </c>
      <c r="H22" s="9">
        <f>F22-G22</f>
        <v>4.0167210000000013</v>
      </c>
    </row>
    <row r="23" spans="1:8">
      <c r="A23" s="5">
        <v>21</v>
      </c>
      <c r="B23" s="6" t="s">
        <v>29</v>
      </c>
      <c r="C23" s="5">
        <v>1.929</v>
      </c>
      <c r="D23" s="5">
        <v>95</v>
      </c>
      <c r="E23" s="5">
        <v>10</v>
      </c>
      <c r="F23" s="7">
        <v>5.2522800000000007</v>
      </c>
      <c r="G23" s="9">
        <f>0.81+0.04727+0.00006+0.6685</f>
        <v>1.52583</v>
      </c>
      <c r="H23" s="9">
        <f t="shared" si="0"/>
        <v>3.7264500000000007</v>
      </c>
    </row>
    <row r="24" spans="1:8">
      <c r="A24" s="5">
        <v>22</v>
      </c>
      <c r="B24" s="6" t="s">
        <v>30</v>
      </c>
      <c r="C24" s="5">
        <v>0.51600000000000001</v>
      </c>
      <c r="D24" s="5">
        <v>70</v>
      </c>
      <c r="E24" s="5">
        <v>10</v>
      </c>
      <c r="F24" s="7">
        <v>4.2177400000000009</v>
      </c>
      <c r="G24" s="9">
        <f>0.51+0.14765+0.009+0.009+0.00773+0.009+0.009</f>
        <v>0.70138000000000011</v>
      </c>
      <c r="H24" s="9">
        <f t="shared" si="0"/>
        <v>3.5163600000000006</v>
      </c>
    </row>
    <row r="25" spans="1:8">
      <c r="A25" s="5">
        <v>23</v>
      </c>
      <c r="B25" s="6" t="s">
        <v>31</v>
      </c>
      <c r="C25" s="5">
        <v>0.34200000000000003</v>
      </c>
      <c r="D25" s="5">
        <v>95</v>
      </c>
      <c r="E25" s="5">
        <v>10</v>
      </c>
      <c r="F25" s="7">
        <v>5.2522800000000007</v>
      </c>
      <c r="G25" s="9">
        <f>1.18+0.00765</f>
        <v>1.1876499999999999</v>
      </c>
      <c r="H25" s="9">
        <f t="shared" si="0"/>
        <v>4.0646300000000011</v>
      </c>
    </row>
    <row r="26" spans="1:8">
      <c r="A26" s="5">
        <v>24</v>
      </c>
      <c r="B26" s="6" t="s">
        <v>32</v>
      </c>
      <c r="C26" s="5">
        <v>1.4039999999999999</v>
      </c>
      <c r="D26" s="5">
        <v>95</v>
      </c>
      <c r="E26" s="5">
        <v>10</v>
      </c>
      <c r="F26" s="7">
        <v>5.2522800000000007</v>
      </c>
      <c r="G26" s="6">
        <v>0.57999999999999996</v>
      </c>
      <c r="H26" s="9">
        <f t="shared" si="0"/>
        <v>4.6722800000000007</v>
      </c>
    </row>
    <row r="27" spans="1:8">
      <c r="A27" s="5">
        <v>25</v>
      </c>
      <c r="B27" s="6" t="s">
        <v>33</v>
      </c>
      <c r="C27" s="5">
        <v>0.2</v>
      </c>
      <c r="D27" s="5">
        <v>70</v>
      </c>
      <c r="E27" s="5">
        <v>10</v>
      </c>
      <c r="F27" s="7">
        <v>4.2177400000000009</v>
      </c>
      <c r="G27" s="6">
        <f>0.12+0.5</f>
        <v>0.62</v>
      </c>
      <c r="H27" s="9">
        <f t="shared" si="0"/>
        <v>3.5977400000000008</v>
      </c>
    </row>
    <row r="28" spans="1:8">
      <c r="A28" s="5">
        <v>26</v>
      </c>
      <c r="B28" s="6" t="s">
        <v>34</v>
      </c>
      <c r="C28" s="5">
        <v>0.4</v>
      </c>
      <c r="D28" s="5">
        <v>70</v>
      </c>
      <c r="E28" s="5">
        <v>10</v>
      </c>
      <c r="F28" s="7">
        <v>4.2177400000000009</v>
      </c>
      <c r="G28" s="9">
        <f>1.05+0.1789</f>
        <v>1.2289000000000001</v>
      </c>
      <c r="H28" s="9">
        <f t="shared" si="0"/>
        <v>2.9888400000000006</v>
      </c>
    </row>
    <row r="29" spans="1:8">
      <c r="A29" s="5">
        <v>27</v>
      </c>
      <c r="B29" s="6" t="s">
        <v>35</v>
      </c>
      <c r="C29" s="5">
        <v>2.948</v>
      </c>
      <c r="D29" s="5">
        <v>95</v>
      </c>
      <c r="E29" s="5">
        <v>10</v>
      </c>
      <c r="F29" s="7">
        <v>4.6830129609510029</v>
      </c>
      <c r="G29" s="6">
        <f>0.66+0.0648+0.03216</f>
        <v>0.75695999999999997</v>
      </c>
      <c r="H29" s="9">
        <f t="shared" si="0"/>
        <v>3.9260529609510031</v>
      </c>
    </row>
    <row r="30" spans="1:8">
      <c r="A30" s="5">
        <v>28</v>
      </c>
      <c r="B30" s="6" t="s">
        <v>36</v>
      </c>
      <c r="C30" s="5">
        <v>2.9159999999999999</v>
      </c>
      <c r="D30" s="5">
        <v>95</v>
      </c>
      <c r="E30" s="5">
        <v>10</v>
      </c>
      <c r="F30" s="7">
        <v>4.7344040496857192</v>
      </c>
      <c r="G30" s="9">
        <f>0.79+0.1277+0.154</f>
        <v>1.0717000000000001</v>
      </c>
      <c r="H30" s="9">
        <f t="shared" si="0"/>
        <v>3.6627040496857193</v>
      </c>
    </row>
    <row r="31" spans="1:8">
      <c r="A31" s="5">
        <v>29</v>
      </c>
      <c r="B31" s="6" t="s">
        <v>37</v>
      </c>
      <c r="C31" s="5">
        <v>2.4500000000000002</v>
      </c>
      <c r="D31" s="5">
        <v>95</v>
      </c>
      <c r="E31" s="5">
        <v>10</v>
      </c>
      <c r="F31" s="7">
        <v>5.2522800000000007</v>
      </c>
      <c r="G31" s="9">
        <f>0.1277+0.3168+0.11007</f>
        <v>0.55457000000000001</v>
      </c>
      <c r="H31" s="9">
        <f t="shared" si="0"/>
        <v>4.6977100000000007</v>
      </c>
    </row>
    <row r="32" spans="1:8">
      <c r="A32" s="5">
        <v>30</v>
      </c>
      <c r="B32" s="6" t="s">
        <v>38</v>
      </c>
      <c r="C32" s="5">
        <v>1.6819999999999999</v>
      </c>
      <c r="D32" s="5">
        <v>95</v>
      </c>
      <c r="E32" s="5">
        <v>10</v>
      </c>
      <c r="F32" s="7">
        <v>5.2522800000000007</v>
      </c>
      <c r="G32" s="6">
        <v>0.12</v>
      </c>
      <c r="H32" s="9">
        <f t="shared" si="0"/>
        <v>5.1322800000000006</v>
      </c>
    </row>
    <row r="33" spans="1:9">
      <c r="A33" s="5">
        <v>31</v>
      </c>
      <c r="B33" s="6" t="s">
        <v>39</v>
      </c>
      <c r="C33" s="5">
        <v>1.2</v>
      </c>
      <c r="D33" s="5">
        <v>70</v>
      </c>
      <c r="E33" s="5">
        <v>10</v>
      </c>
      <c r="F33" s="7">
        <v>4.2177400000000009</v>
      </c>
      <c r="G33" s="9">
        <f>1.59+0.13936+0.009+0.009+0.009+0.0206</f>
        <v>1.7769599999999997</v>
      </c>
      <c r="H33" s="9">
        <f t="shared" si="0"/>
        <v>2.4407800000000011</v>
      </c>
    </row>
    <row r="34" spans="1:9">
      <c r="A34" s="5">
        <v>32</v>
      </c>
      <c r="B34" s="6" t="s">
        <v>40</v>
      </c>
      <c r="C34" s="5">
        <v>0.186</v>
      </c>
      <c r="D34" s="5">
        <v>95</v>
      </c>
      <c r="E34" s="5">
        <v>10</v>
      </c>
      <c r="F34" s="7">
        <v>5.2522800000000007</v>
      </c>
      <c r="G34" s="6">
        <f>0.08+0.009+0.1724</f>
        <v>0.26139999999999997</v>
      </c>
      <c r="H34" s="9">
        <f t="shared" si="0"/>
        <v>4.9908800000000006</v>
      </c>
    </row>
    <row r="35" spans="1:9">
      <c r="A35" s="5">
        <v>33</v>
      </c>
      <c r="B35" s="6" t="s">
        <v>41</v>
      </c>
      <c r="C35" s="5">
        <v>0.187</v>
      </c>
      <c r="D35" s="5">
        <v>95</v>
      </c>
      <c r="E35" s="5">
        <v>10</v>
      </c>
      <c r="F35" s="7">
        <v>5.2522800000000007</v>
      </c>
      <c r="G35" s="6">
        <v>0.48</v>
      </c>
      <c r="H35" s="9">
        <f t="shared" si="0"/>
        <v>4.7722800000000003</v>
      </c>
    </row>
    <row r="36" spans="1:9">
      <c r="A36" s="5">
        <v>34</v>
      </c>
      <c r="B36" s="6" t="s">
        <v>42</v>
      </c>
      <c r="C36" s="5">
        <v>1.974</v>
      </c>
      <c r="D36" s="5">
        <v>70</v>
      </c>
      <c r="E36" s="5">
        <v>6</v>
      </c>
      <c r="F36" s="7">
        <v>2.5306439999999997</v>
      </c>
      <c r="G36" s="6">
        <v>0.3</v>
      </c>
      <c r="H36" s="9">
        <f t="shared" si="0"/>
        <v>2.2306439999999998</v>
      </c>
      <c r="I36" s="18"/>
    </row>
    <row r="37" spans="1:9">
      <c r="A37" s="5">
        <v>35</v>
      </c>
      <c r="B37" s="6" t="s">
        <v>43</v>
      </c>
      <c r="C37" s="5">
        <v>1.5680000000000001</v>
      </c>
      <c r="D37" s="5">
        <v>70</v>
      </c>
      <c r="E37" s="5">
        <v>6</v>
      </c>
      <c r="F37" s="7">
        <v>2.5306439999999997</v>
      </c>
      <c r="G37" s="6">
        <v>0.12</v>
      </c>
      <c r="H37" s="9">
        <f t="shared" si="0"/>
        <v>2.4106439999999996</v>
      </c>
      <c r="I37" s="18"/>
    </row>
    <row r="38" spans="1:9">
      <c r="A38" s="5">
        <v>36</v>
      </c>
      <c r="B38" s="6" t="s">
        <v>44</v>
      </c>
      <c r="C38" s="5">
        <v>0.35799999999999998</v>
      </c>
      <c r="D38" s="5">
        <v>70</v>
      </c>
      <c r="E38" s="5">
        <v>6</v>
      </c>
      <c r="F38" s="7">
        <v>2.5306439999999997</v>
      </c>
      <c r="G38" s="6">
        <v>0.98</v>
      </c>
      <c r="H38" s="9">
        <f t="shared" si="0"/>
        <v>1.5506439999999997</v>
      </c>
      <c r="I38" s="18"/>
    </row>
    <row r="39" spans="1:9">
      <c r="A39" s="5">
        <v>37</v>
      </c>
      <c r="B39" s="6" t="s">
        <v>45</v>
      </c>
      <c r="C39" s="5">
        <v>0.65800000000000003</v>
      </c>
      <c r="D39" s="5">
        <v>95</v>
      </c>
      <c r="E39" s="5">
        <v>6</v>
      </c>
      <c r="F39" s="7">
        <v>3.1513679999999997</v>
      </c>
      <c r="G39" s="6">
        <v>0.04</v>
      </c>
      <c r="H39" s="9">
        <f t="shared" si="0"/>
        <v>3.1113679999999997</v>
      </c>
      <c r="I39" s="18"/>
    </row>
    <row r="40" spans="1:9">
      <c r="A40" s="5">
        <v>38</v>
      </c>
      <c r="B40" s="6" t="s">
        <v>46</v>
      </c>
      <c r="C40" s="5">
        <v>5.64</v>
      </c>
      <c r="D40" s="5">
        <v>95</v>
      </c>
      <c r="E40" s="5">
        <v>10</v>
      </c>
      <c r="F40" s="7">
        <v>2.4477876256885738</v>
      </c>
      <c r="G40" s="9">
        <f>0.64+0.0065+0.0099+0.0065+0.009+0.009+0.009+0.00856+0.0189+0.0144+0.0091</f>
        <v>0.74085999999999996</v>
      </c>
      <c r="H40" s="9">
        <f t="shared" si="0"/>
        <v>1.7069276256885737</v>
      </c>
    </row>
    <row r="41" spans="1:9">
      <c r="A41" s="5">
        <v>39</v>
      </c>
      <c r="B41" s="6" t="s">
        <v>47</v>
      </c>
      <c r="C41" s="5">
        <v>4.7</v>
      </c>
      <c r="D41" s="5">
        <v>95</v>
      </c>
      <c r="E41" s="5">
        <v>10</v>
      </c>
      <c r="F41" s="7">
        <v>2.9373451508262884</v>
      </c>
      <c r="G41" s="9">
        <f>0.0099+0.0096+0.0048</f>
        <v>2.4299999999999999E-2</v>
      </c>
      <c r="H41" s="9">
        <f t="shared" si="0"/>
        <v>2.9130451508262882</v>
      </c>
    </row>
  </sheetData>
  <mergeCells count="3">
    <mergeCell ref="A2:H2"/>
    <mergeCell ref="J9:J11"/>
    <mergeCell ref="I36:I39"/>
  </mergeCells>
  <pageMargins left="0.7" right="0.7" top="0.75" bottom="0.75" header="0.3" footer="0.3"/>
  <pageSetup paperSize="9" scale="7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9"/>
  <sheetViews>
    <sheetView view="pageBreakPreview" topLeftCell="B1" zoomScale="130" zoomScaleNormal="100" zoomScaleSheetLayoutView="130" workbookViewId="0">
      <pane xSplit="1" ySplit="2" topLeftCell="C15" activePane="bottomRight" state="frozen"/>
      <selection activeCell="B1" sqref="B1"/>
      <selection pane="topRight" activeCell="C1" sqref="C1"/>
      <selection pane="bottomLeft" activeCell="B3" sqref="B3"/>
      <selection pane="bottomRight" activeCell="B23" sqref="B23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717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718</v>
      </c>
      <c r="C3" s="5">
        <v>4.38</v>
      </c>
      <c r="D3" s="5">
        <v>50</v>
      </c>
      <c r="E3" s="5">
        <v>10</v>
      </c>
      <c r="F3" s="7">
        <v>1.6790220791403412</v>
      </c>
      <c r="G3" s="6">
        <v>5.0999999999999997E-2</v>
      </c>
      <c r="H3" s="9">
        <f>F3-G3</f>
        <v>1.6280220791403412</v>
      </c>
    </row>
    <row r="4" spans="1:9">
      <c r="A4" s="5">
        <v>2</v>
      </c>
      <c r="B4" s="6" t="s">
        <v>719</v>
      </c>
      <c r="C4" s="5">
        <v>2</v>
      </c>
      <c r="D4" s="5">
        <v>35</v>
      </c>
      <c r="E4" s="5">
        <v>10</v>
      </c>
      <c r="F4" s="7">
        <v>2.7853000000000003</v>
      </c>
      <c r="G4" s="6">
        <f>0.084+0.0006</f>
        <v>8.4600000000000009E-2</v>
      </c>
      <c r="H4" s="9">
        <f t="shared" ref="H4:H67" si="0">F4-G4</f>
        <v>2.7007000000000003</v>
      </c>
    </row>
    <row r="5" spans="1:9">
      <c r="A5" s="5">
        <v>3</v>
      </c>
      <c r="B5" s="6" t="s">
        <v>720</v>
      </c>
      <c r="C5" s="5">
        <v>22</v>
      </c>
      <c r="D5" s="5">
        <v>35</v>
      </c>
      <c r="E5" s="5">
        <v>10</v>
      </c>
      <c r="F5" s="7">
        <v>0.25922502986723173</v>
      </c>
      <c r="G5" s="6">
        <v>0</v>
      </c>
      <c r="H5" s="9">
        <f t="shared" si="0"/>
        <v>0.25922502986723173</v>
      </c>
    </row>
    <row r="6" spans="1:9">
      <c r="A6" s="5">
        <v>4</v>
      </c>
      <c r="B6" s="6" t="s">
        <v>721</v>
      </c>
      <c r="C6" s="5">
        <v>2.62</v>
      </c>
      <c r="D6" s="5">
        <v>50</v>
      </c>
      <c r="E6" s="5">
        <v>10</v>
      </c>
      <c r="F6" s="7">
        <v>2.8069147735246918</v>
      </c>
      <c r="G6" s="6">
        <f>0.025+0.035</f>
        <v>6.0000000000000005E-2</v>
      </c>
      <c r="H6" s="9">
        <f t="shared" si="0"/>
        <v>2.7469147735246917</v>
      </c>
    </row>
    <row r="7" spans="1:9">
      <c r="A7" s="5">
        <v>5</v>
      </c>
      <c r="B7" s="6" t="s">
        <v>722</v>
      </c>
      <c r="C7" s="5">
        <v>13.78</v>
      </c>
      <c r="D7" s="5">
        <v>35</v>
      </c>
      <c r="E7" s="5">
        <v>10</v>
      </c>
      <c r="F7" s="7">
        <v>0.41385708687076178</v>
      </c>
      <c r="G7" s="6">
        <v>2.5000000000000001E-2</v>
      </c>
      <c r="H7" s="9">
        <f t="shared" si="0"/>
        <v>0.38885708687076176</v>
      </c>
    </row>
    <row r="8" spans="1:9">
      <c r="A8" s="5">
        <v>6</v>
      </c>
      <c r="B8" s="6" t="s">
        <v>723</v>
      </c>
      <c r="C8" s="5">
        <v>4.9000000000000004</v>
      </c>
      <c r="D8" s="5">
        <v>35</v>
      </c>
      <c r="E8" s="5">
        <v>10</v>
      </c>
      <c r="F8" s="7">
        <v>1.1638674810365506</v>
      </c>
      <c r="G8" s="6">
        <v>5.0000000000000001E-3</v>
      </c>
      <c r="H8" s="9">
        <f t="shared" si="0"/>
        <v>1.1588674810365507</v>
      </c>
    </row>
    <row r="9" spans="1:9">
      <c r="A9" s="5">
        <v>7</v>
      </c>
      <c r="B9" s="6" t="s">
        <v>724</v>
      </c>
      <c r="C9" s="5">
        <v>3.5</v>
      </c>
      <c r="D9" s="5">
        <v>35</v>
      </c>
      <c r="E9" s="5">
        <v>10</v>
      </c>
      <c r="F9" s="7">
        <v>1.6294144734511709</v>
      </c>
      <c r="G9" s="6">
        <v>2.5000000000000001E-2</v>
      </c>
      <c r="H9" s="9">
        <f t="shared" si="0"/>
        <v>1.6044144734511709</v>
      </c>
    </row>
    <row r="10" spans="1:9">
      <c r="A10" s="5">
        <v>8</v>
      </c>
      <c r="B10" s="6" t="s">
        <v>725</v>
      </c>
      <c r="C10" s="5">
        <v>3</v>
      </c>
      <c r="D10" s="5">
        <v>50</v>
      </c>
      <c r="E10" s="5">
        <v>10</v>
      </c>
      <c r="F10" s="7">
        <v>2.4513722355448979</v>
      </c>
      <c r="G10" s="6">
        <v>0.10199999999999999</v>
      </c>
      <c r="H10" s="9">
        <f t="shared" si="0"/>
        <v>2.349372235544898</v>
      </c>
    </row>
    <row r="11" spans="1:9">
      <c r="A11" s="5">
        <v>9</v>
      </c>
      <c r="B11" s="6" t="s">
        <v>726</v>
      </c>
      <c r="C11" s="5">
        <v>20.399999999999999</v>
      </c>
      <c r="D11" s="5">
        <v>35</v>
      </c>
      <c r="E11" s="5">
        <v>10</v>
      </c>
      <c r="F11" s="7">
        <v>0.2795564047587793</v>
      </c>
      <c r="G11" s="6">
        <v>1.7000000000000001E-2</v>
      </c>
      <c r="H11" s="9">
        <f t="shared" si="0"/>
        <v>0.26255640475877928</v>
      </c>
    </row>
    <row r="12" spans="1:9">
      <c r="A12" s="5">
        <v>10</v>
      </c>
      <c r="B12" s="6" t="s">
        <v>727</v>
      </c>
      <c r="C12" s="5">
        <v>5.5</v>
      </c>
      <c r="D12" s="5">
        <v>35</v>
      </c>
      <c r="E12" s="5">
        <v>10</v>
      </c>
      <c r="F12" s="7">
        <v>1.0369001194689269</v>
      </c>
      <c r="G12" s="6">
        <v>8.5000000000000006E-2</v>
      </c>
      <c r="H12" s="9">
        <f t="shared" si="0"/>
        <v>0.95190011946892694</v>
      </c>
    </row>
    <row r="13" spans="1:9">
      <c r="A13" s="5">
        <v>11</v>
      </c>
      <c r="B13" s="6" t="s">
        <v>728</v>
      </c>
      <c r="C13" s="5">
        <v>13</v>
      </c>
      <c r="D13" s="5">
        <v>50</v>
      </c>
      <c r="E13" s="5">
        <v>10</v>
      </c>
      <c r="F13" s="7">
        <v>0.56570128512574569</v>
      </c>
      <c r="G13" s="6">
        <f>0.17+0.0105</f>
        <v>0.18050000000000002</v>
      </c>
      <c r="H13" s="9">
        <f t="shared" si="0"/>
        <v>0.3852012851257457</v>
      </c>
    </row>
    <row r="14" spans="1:9">
      <c r="A14" s="5">
        <v>12</v>
      </c>
      <c r="B14" s="6" t="s">
        <v>729</v>
      </c>
      <c r="C14" s="5">
        <v>3.6</v>
      </c>
      <c r="D14" s="5">
        <v>35</v>
      </c>
      <c r="E14" s="5">
        <v>10</v>
      </c>
      <c r="F14" s="7">
        <v>1.5841529602997493</v>
      </c>
      <c r="G14" s="6">
        <v>3.5999999999999997E-2</v>
      </c>
      <c r="H14" s="9">
        <f t="shared" si="0"/>
        <v>1.5481529602997492</v>
      </c>
    </row>
    <row r="15" spans="1:9">
      <c r="A15" s="5">
        <v>13</v>
      </c>
      <c r="B15" s="6" t="s">
        <v>730</v>
      </c>
      <c r="C15" s="5">
        <v>2.1</v>
      </c>
      <c r="D15" s="5">
        <v>35</v>
      </c>
      <c r="E15" s="5">
        <v>10</v>
      </c>
      <c r="F15" s="7">
        <v>2.7156907890852851</v>
      </c>
      <c r="G15" s="6">
        <v>1.7999999999999999E-2</v>
      </c>
      <c r="H15" s="9">
        <f t="shared" si="0"/>
        <v>2.6976907890852853</v>
      </c>
    </row>
    <row r="16" spans="1:9">
      <c r="A16" s="5">
        <v>14</v>
      </c>
      <c r="B16" s="6" t="s">
        <v>731</v>
      </c>
      <c r="C16" s="5">
        <v>4.8</v>
      </c>
      <c r="D16" s="5">
        <v>35</v>
      </c>
      <c r="E16" s="5">
        <v>10</v>
      </c>
      <c r="F16" s="7">
        <v>1.1881147202248123</v>
      </c>
      <c r="G16" s="6">
        <v>1.7999999999999999E-2</v>
      </c>
      <c r="H16" s="9">
        <f t="shared" si="0"/>
        <v>1.1701147202248123</v>
      </c>
    </row>
    <row r="17" spans="1:8">
      <c r="A17" s="5">
        <v>15</v>
      </c>
      <c r="B17" s="6" t="s">
        <v>732</v>
      </c>
      <c r="C17" s="5">
        <v>3.2</v>
      </c>
      <c r="D17" s="5">
        <v>35</v>
      </c>
      <c r="E17" s="5">
        <v>10</v>
      </c>
      <c r="F17" s="7">
        <v>1.7821720803372179</v>
      </c>
      <c r="G17" s="6">
        <v>8.9999999999999993E-3</v>
      </c>
      <c r="H17" s="9">
        <f t="shared" si="0"/>
        <v>1.773172080337218</v>
      </c>
    </row>
    <row r="18" spans="1:8">
      <c r="A18" s="5">
        <v>16</v>
      </c>
      <c r="B18" s="6" t="s">
        <v>733</v>
      </c>
      <c r="C18" s="5">
        <v>1.3</v>
      </c>
      <c r="D18" s="5">
        <v>35</v>
      </c>
      <c r="E18" s="5">
        <v>10</v>
      </c>
      <c r="F18" s="7">
        <v>2.7853000000000003</v>
      </c>
      <c r="G18" s="6">
        <v>1.7999999999999999E-2</v>
      </c>
      <c r="H18" s="9">
        <f t="shared" si="0"/>
        <v>2.7673000000000005</v>
      </c>
    </row>
    <row r="19" spans="1:8">
      <c r="A19" s="5">
        <v>17</v>
      </c>
      <c r="B19" s="6" t="s">
        <v>734</v>
      </c>
      <c r="C19" s="5">
        <v>0.9</v>
      </c>
      <c r="D19" s="5">
        <v>35</v>
      </c>
      <c r="E19" s="5">
        <v>10</v>
      </c>
      <c r="F19" s="7">
        <v>2.7853000000000003</v>
      </c>
      <c r="G19" s="6">
        <v>8.9999999999999993E-3</v>
      </c>
      <c r="H19" s="9">
        <f t="shared" si="0"/>
        <v>2.7763000000000004</v>
      </c>
    </row>
    <row r="20" spans="1:8">
      <c r="A20" s="5">
        <v>18</v>
      </c>
      <c r="B20" s="6" t="s">
        <v>735</v>
      </c>
      <c r="C20" s="5">
        <v>5.7</v>
      </c>
      <c r="D20" s="5">
        <v>35</v>
      </c>
      <c r="E20" s="5">
        <v>10</v>
      </c>
      <c r="F20" s="7">
        <v>1.0005176591366838</v>
      </c>
      <c r="G20" s="6">
        <v>1.7999999999999999E-2</v>
      </c>
      <c r="H20" s="9">
        <f t="shared" si="0"/>
        <v>0.98251765913668376</v>
      </c>
    </row>
    <row r="21" spans="1:8">
      <c r="A21" s="5">
        <v>19</v>
      </c>
      <c r="B21" s="6" t="s">
        <v>736</v>
      </c>
      <c r="C21" s="5">
        <v>6.8</v>
      </c>
      <c r="D21" s="5">
        <v>50</v>
      </c>
      <c r="E21" s="5">
        <v>10</v>
      </c>
      <c r="F21" s="7">
        <v>1.0814877509756902</v>
      </c>
      <c r="G21" s="6">
        <v>3.4000000000000002E-2</v>
      </c>
      <c r="H21" s="9">
        <f t="shared" si="0"/>
        <v>1.0474877509756901</v>
      </c>
    </row>
    <row r="22" spans="1:8">
      <c r="A22" s="5">
        <v>20</v>
      </c>
      <c r="B22" s="6" t="s">
        <v>737</v>
      </c>
      <c r="C22" s="5">
        <v>22.55</v>
      </c>
      <c r="D22" s="5">
        <v>35</v>
      </c>
      <c r="E22" s="5">
        <v>10</v>
      </c>
      <c r="F22" s="7">
        <v>0.25290246816315287</v>
      </c>
      <c r="G22" s="6">
        <v>1.7000000000000001E-2</v>
      </c>
      <c r="H22" s="9">
        <f t="shared" si="0"/>
        <v>0.23590246816315286</v>
      </c>
    </row>
    <row r="23" spans="1:8">
      <c r="A23" s="5">
        <v>21</v>
      </c>
      <c r="B23" s="6" t="s">
        <v>738</v>
      </c>
      <c r="C23" s="5">
        <v>0.8</v>
      </c>
      <c r="D23" s="5">
        <v>35</v>
      </c>
      <c r="E23" s="5">
        <v>10</v>
      </c>
      <c r="F23" s="7">
        <v>2.7853000000000003</v>
      </c>
      <c r="G23" s="6">
        <v>1.7000000000000001E-2</v>
      </c>
      <c r="H23" s="9">
        <f t="shared" si="0"/>
        <v>2.7683000000000004</v>
      </c>
    </row>
    <row r="24" spans="1:8">
      <c r="A24" s="5">
        <v>22</v>
      </c>
      <c r="B24" s="6" t="s">
        <v>739</v>
      </c>
      <c r="C24" s="5">
        <v>5.3</v>
      </c>
      <c r="D24" s="5">
        <v>35</v>
      </c>
      <c r="E24" s="5">
        <v>10</v>
      </c>
      <c r="F24" s="7">
        <v>1.0760284258639805</v>
      </c>
      <c r="G24" s="6">
        <v>7.1999999999999995E-2</v>
      </c>
      <c r="H24" s="9">
        <f t="shared" si="0"/>
        <v>1.0040284258639804</v>
      </c>
    </row>
    <row r="25" spans="1:8">
      <c r="A25" s="5">
        <v>23</v>
      </c>
      <c r="B25" s="6" t="s">
        <v>740</v>
      </c>
      <c r="C25" s="5">
        <v>11</v>
      </c>
      <c r="D25" s="5">
        <v>35</v>
      </c>
      <c r="E25" s="5">
        <v>10</v>
      </c>
      <c r="F25" s="7">
        <v>0.51845005973446345</v>
      </c>
      <c r="G25" s="6">
        <v>3.0000000000000001E-3</v>
      </c>
      <c r="H25" s="9">
        <f t="shared" si="0"/>
        <v>0.51545005973446345</v>
      </c>
    </row>
    <row r="26" spans="1:8">
      <c r="A26" s="5">
        <v>24</v>
      </c>
      <c r="B26" s="6" t="s">
        <v>741</v>
      </c>
      <c r="C26" s="5">
        <v>23.2</v>
      </c>
      <c r="D26" s="5">
        <v>35</v>
      </c>
      <c r="E26" s="5">
        <v>10</v>
      </c>
      <c r="F26" s="7">
        <v>0.24581683866720253</v>
      </c>
      <c r="G26" s="6">
        <f>0.032+0.0105+0.04+0.0352+0.0065</f>
        <v>0.1242</v>
      </c>
      <c r="H26" s="9">
        <f t="shared" si="0"/>
        <v>0.12161683866720252</v>
      </c>
    </row>
    <row r="27" spans="1:8">
      <c r="A27" s="5">
        <v>25</v>
      </c>
      <c r="B27" s="6" t="s">
        <v>742</v>
      </c>
      <c r="C27" s="5">
        <v>0.21</v>
      </c>
      <c r="D27" s="5">
        <v>35</v>
      </c>
      <c r="E27" s="5">
        <v>10</v>
      </c>
      <c r="F27" s="7">
        <v>2.7853000000000003</v>
      </c>
      <c r="G27" s="6">
        <v>6.0000000000000001E-3</v>
      </c>
      <c r="H27" s="9">
        <f t="shared" si="0"/>
        <v>2.7793000000000005</v>
      </c>
    </row>
    <row r="28" spans="1:8">
      <c r="A28" s="5">
        <v>26</v>
      </c>
      <c r="B28" s="6" t="s">
        <v>743</v>
      </c>
      <c r="C28" s="5">
        <v>2.7</v>
      </c>
      <c r="D28" s="5">
        <v>35</v>
      </c>
      <c r="E28" s="5">
        <v>10</v>
      </c>
      <c r="F28" s="7">
        <v>2.1122039470663321</v>
      </c>
      <c r="G28" s="6">
        <v>7.0000000000000001E-3</v>
      </c>
      <c r="H28" s="9">
        <f t="shared" si="0"/>
        <v>2.105203947066332</v>
      </c>
    </row>
    <row r="29" spans="1:8">
      <c r="A29" s="5">
        <v>27</v>
      </c>
      <c r="B29" s="6" t="s">
        <v>744</v>
      </c>
      <c r="C29" s="5">
        <v>2.86</v>
      </c>
      <c r="D29" s="5">
        <v>35</v>
      </c>
      <c r="E29" s="5">
        <v>10</v>
      </c>
      <c r="F29" s="7">
        <v>1.9940386912863983</v>
      </c>
      <c r="G29" s="6">
        <f>0.029+0.0097+0.05</f>
        <v>8.8700000000000001E-2</v>
      </c>
      <c r="H29" s="9">
        <f t="shared" si="0"/>
        <v>1.9053386912863983</v>
      </c>
    </row>
    <row r="30" spans="1:8">
      <c r="A30" s="5">
        <v>28</v>
      </c>
      <c r="B30" s="6" t="s">
        <v>745</v>
      </c>
      <c r="C30" s="5">
        <v>1.95</v>
      </c>
      <c r="D30" s="5">
        <v>35</v>
      </c>
      <c r="E30" s="5">
        <v>10</v>
      </c>
      <c r="F30" s="7">
        <v>2.7853000000000003</v>
      </c>
      <c r="G30" s="6">
        <v>1.6E-2</v>
      </c>
      <c r="H30" s="9">
        <f t="shared" si="0"/>
        <v>2.7693000000000003</v>
      </c>
    </row>
    <row r="31" spans="1:8">
      <c r="A31" s="5">
        <v>29</v>
      </c>
      <c r="B31" s="6" t="s">
        <v>746</v>
      </c>
      <c r="C31" s="5">
        <v>1.7</v>
      </c>
      <c r="D31" s="5">
        <v>35</v>
      </c>
      <c r="E31" s="5">
        <v>10</v>
      </c>
      <c r="F31" s="7">
        <v>2.7853000000000003</v>
      </c>
      <c r="G31" s="6">
        <v>0.02</v>
      </c>
      <c r="H31" s="9">
        <f t="shared" si="0"/>
        <v>2.7653000000000003</v>
      </c>
    </row>
    <row r="32" spans="1:8">
      <c r="A32" s="5">
        <v>30</v>
      </c>
      <c r="B32" s="6" t="s">
        <v>747</v>
      </c>
      <c r="C32" s="5">
        <v>27.85</v>
      </c>
      <c r="D32" s="5">
        <v>35</v>
      </c>
      <c r="E32" s="5">
        <v>10</v>
      </c>
      <c r="F32" s="7">
        <v>0.20477381174431231</v>
      </c>
      <c r="G32" s="6">
        <v>1.6E-2</v>
      </c>
      <c r="H32" s="9">
        <f t="shared" si="0"/>
        <v>0.18877381174431229</v>
      </c>
    </row>
    <row r="33" spans="1:8">
      <c r="A33" s="5">
        <v>31</v>
      </c>
      <c r="B33" s="6" t="s">
        <v>748</v>
      </c>
      <c r="C33" s="5">
        <v>0.01</v>
      </c>
      <c r="D33" s="5">
        <v>35</v>
      </c>
      <c r="E33" s="5">
        <v>10</v>
      </c>
      <c r="F33" s="7">
        <v>2.7853000000000003</v>
      </c>
      <c r="G33" s="6">
        <v>1.7000000000000001E-2</v>
      </c>
      <c r="H33" s="9">
        <f t="shared" si="0"/>
        <v>2.7683000000000004</v>
      </c>
    </row>
    <row r="34" spans="1:8">
      <c r="A34" s="5">
        <v>32</v>
      </c>
      <c r="B34" s="6" t="s">
        <v>749</v>
      </c>
      <c r="C34" s="5">
        <v>6.09</v>
      </c>
      <c r="D34" s="5">
        <v>35</v>
      </c>
      <c r="E34" s="5">
        <v>10</v>
      </c>
      <c r="F34" s="7">
        <v>0.93644509968458089</v>
      </c>
      <c r="G34" s="6">
        <f>0.11+0.0041</f>
        <v>0.11410000000000001</v>
      </c>
      <c r="H34" s="9">
        <f t="shared" si="0"/>
        <v>0.82234509968458092</v>
      </c>
    </row>
    <row r="35" spans="1:8">
      <c r="A35" s="5">
        <v>33</v>
      </c>
      <c r="B35" s="6" t="s">
        <v>750</v>
      </c>
      <c r="C35" s="5">
        <v>14.1</v>
      </c>
      <c r="D35" s="5">
        <v>50</v>
      </c>
      <c r="E35" s="5">
        <v>10</v>
      </c>
      <c r="F35" s="7">
        <v>0.52156856075423352</v>
      </c>
      <c r="G35" s="6">
        <v>9.5000000000000001E-2</v>
      </c>
      <c r="H35" s="9">
        <f t="shared" si="0"/>
        <v>0.42656856075423355</v>
      </c>
    </row>
    <row r="36" spans="1:8">
      <c r="A36" s="5">
        <v>34</v>
      </c>
      <c r="B36" s="6" t="s">
        <v>751</v>
      </c>
      <c r="C36" s="5">
        <v>10.6</v>
      </c>
      <c r="D36" s="5">
        <v>50</v>
      </c>
      <c r="E36" s="5">
        <v>10</v>
      </c>
      <c r="F36" s="7">
        <v>0.69378459496553713</v>
      </c>
      <c r="G36" s="6">
        <f>0.108+0.0045</f>
        <v>0.1125</v>
      </c>
      <c r="H36" s="9">
        <f t="shared" si="0"/>
        <v>0.58128459496553708</v>
      </c>
    </row>
    <row r="37" spans="1:8">
      <c r="A37" s="5">
        <v>35</v>
      </c>
      <c r="B37" s="6" t="s">
        <v>752</v>
      </c>
      <c r="C37" s="5">
        <v>16.100000000000001</v>
      </c>
      <c r="D37" s="5">
        <v>35</v>
      </c>
      <c r="E37" s="5">
        <v>10</v>
      </c>
      <c r="F37" s="7">
        <v>0.3542205377067762</v>
      </c>
      <c r="G37" s="6">
        <v>0</v>
      </c>
      <c r="H37" s="9">
        <f t="shared" si="0"/>
        <v>0.3542205377067762</v>
      </c>
    </row>
    <row r="38" spans="1:8">
      <c r="A38" s="5">
        <v>36</v>
      </c>
      <c r="B38" s="6" t="s">
        <v>753</v>
      </c>
      <c r="C38" s="5">
        <v>10.199999999999999</v>
      </c>
      <c r="D38" s="5">
        <v>50</v>
      </c>
      <c r="E38" s="5">
        <v>10</v>
      </c>
      <c r="F38" s="7">
        <v>0.72099183398379352</v>
      </c>
      <c r="G38" s="6">
        <v>2.8000000000000001E-2</v>
      </c>
      <c r="H38" s="9">
        <f t="shared" si="0"/>
        <v>0.69299183398379349</v>
      </c>
    </row>
    <row r="39" spans="1:8">
      <c r="A39" s="5">
        <v>37</v>
      </c>
      <c r="B39" s="6" t="s">
        <v>754</v>
      </c>
      <c r="C39" s="5">
        <v>28.85</v>
      </c>
      <c r="D39" s="5">
        <v>35</v>
      </c>
      <c r="E39" s="5">
        <v>10</v>
      </c>
      <c r="F39" s="7">
        <v>0.19767593265438813</v>
      </c>
      <c r="G39" s="6">
        <v>3.3000000000000002E-2</v>
      </c>
      <c r="H39" s="9">
        <f t="shared" si="0"/>
        <v>0.16467593265438812</v>
      </c>
    </row>
    <row r="40" spans="1:8">
      <c r="A40" s="5">
        <v>38</v>
      </c>
      <c r="B40" s="6" t="s">
        <v>755</v>
      </c>
      <c r="C40" s="5">
        <v>19.2</v>
      </c>
      <c r="D40" s="5">
        <v>35</v>
      </c>
      <c r="E40" s="5">
        <v>10</v>
      </c>
      <c r="F40" s="7">
        <v>0.29702868005620309</v>
      </c>
      <c r="G40" s="6">
        <v>8.0000000000000002E-3</v>
      </c>
      <c r="H40" s="9">
        <f t="shared" si="0"/>
        <v>0.28902868005620308</v>
      </c>
    </row>
    <row r="41" spans="1:8">
      <c r="A41" s="5">
        <v>39</v>
      </c>
      <c r="B41" s="6" t="s">
        <v>756</v>
      </c>
      <c r="C41" s="5">
        <v>3.5</v>
      </c>
      <c r="D41" s="5">
        <v>35</v>
      </c>
      <c r="E41" s="5">
        <v>10</v>
      </c>
      <c r="F41" s="7">
        <v>1.6294144734511709</v>
      </c>
      <c r="G41" s="6">
        <f>0.054+0.0071</f>
        <v>6.1100000000000002E-2</v>
      </c>
      <c r="H41" s="9">
        <f t="shared" si="0"/>
        <v>1.5683144734511709</v>
      </c>
    </row>
    <row r="42" spans="1:8">
      <c r="A42" s="5">
        <v>40</v>
      </c>
      <c r="B42" s="6" t="s">
        <v>757</v>
      </c>
      <c r="C42" s="5">
        <v>1.3</v>
      </c>
      <c r="D42" s="5">
        <v>35</v>
      </c>
      <c r="E42" s="5">
        <v>10</v>
      </c>
      <c r="F42" s="7">
        <v>2.7853000000000003</v>
      </c>
      <c r="G42" s="6">
        <v>1E-3</v>
      </c>
      <c r="H42" s="9">
        <f t="shared" si="0"/>
        <v>2.7843000000000004</v>
      </c>
    </row>
    <row r="43" spans="1:8">
      <c r="A43" s="5">
        <v>41</v>
      </c>
      <c r="B43" s="6" t="s">
        <v>758</v>
      </c>
      <c r="C43" s="5">
        <v>29.3</v>
      </c>
      <c r="D43" s="5">
        <v>35</v>
      </c>
      <c r="E43" s="5">
        <v>10</v>
      </c>
      <c r="F43" s="7">
        <v>0.19463995416652213</v>
      </c>
      <c r="G43" s="6">
        <v>3.3000000000000002E-2</v>
      </c>
      <c r="H43" s="9">
        <f t="shared" si="0"/>
        <v>0.16163995416652213</v>
      </c>
    </row>
    <row r="44" spans="1:8">
      <c r="A44" s="5">
        <v>42</v>
      </c>
      <c r="B44" s="6" t="s">
        <v>759</v>
      </c>
      <c r="C44" s="5">
        <v>16.600000000000001</v>
      </c>
      <c r="D44" s="5">
        <v>35</v>
      </c>
      <c r="E44" s="5">
        <v>10</v>
      </c>
      <c r="F44" s="7">
        <v>0.34355124440235529</v>
      </c>
      <c r="G44" s="6">
        <v>8.0000000000000002E-3</v>
      </c>
      <c r="H44" s="9">
        <f t="shared" si="0"/>
        <v>0.33555124440235529</v>
      </c>
    </row>
    <row r="45" spans="1:8">
      <c r="A45" s="5">
        <v>43</v>
      </c>
      <c r="B45" s="6" t="s">
        <v>760</v>
      </c>
      <c r="C45" s="5">
        <v>3.8</v>
      </c>
      <c r="D45" s="5">
        <v>35</v>
      </c>
      <c r="E45" s="5">
        <v>10</v>
      </c>
      <c r="F45" s="7">
        <v>1.5007764887050257</v>
      </c>
      <c r="G45" s="6">
        <v>1.7000000000000001E-2</v>
      </c>
      <c r="H45" s="9">
        <f t="shared" si="0"/>
        <v>1.4837764887050258</v>
      </c>
    </row>
    <row r="46" spans="1:8">
      <c r="A46" s="5">
        <v>44</v>
      </c>
      <c r="B46" s="6" t="s">
        <v>761</v>
      </c>
      <c r="C46" s="5">
        <v>6.75</v>
      </c>
      <c r="D46" s="5">
        <v>35</v>
      </c>
      <c r="E46" s="5">
        <v>10</v>
      </c>
      <c r="F46" s="7">
        <v>0.84488157882653292</v>
      </c>
      <c r="G46" s="6">
        <v>4.0000000000000001E-3</v>
      </c>
      <c r="H46" s="9">
        <f t="shared" si="0"/>
        <v>0.84088157882653292</v>
      </c>
    </row>
    <row r="47" spans="1:8">
      <c r="A47" s="5">
        <v>45</v>
      </c>
      <c r="B47" s="6" t="s">
        <v>762</v>
      </c>
      <c r="C47" s="5">
        <v>1.2</v>
      </c>
      <c r="D47" s="5">
        <v>35</v>
      </c>
      <c r="E47" s="5">
        <v>10</v>
      </c>
      <c r="F47" s="7">
        <v>2.7853000000000003</v>
      </c>
      <c r="G47" s="6">
        <v>8.0000000000000002E-3</v>
      </c>
      <c r="H47" s="9">
        <f t="shared" si="0"/>
        <v>2.7773000000000003</v>
      </c>
    </row>
    <row r="48" spans="1:8">
      <c r="A48" s="5">
        <v>46</v>
      </c>
      <c r="B48" s="6" t="s">
        <v>763</v>
      </c>
      <c r="C48" s="5">
        <v>22.1</v>
      </c>
      <c r="D48" s="5">
        <v>35</v>
      </c>
      <c r="E48" s="5">
        <v>10</v>
      </c>
      <c r="F48" s="7">
        <v>0.25805206593118085</v>
      </c>
      <c r="G48" s="6">
        <v>2.5999999999999999E-2</v>
      </c>
      <c r="H48" s="9">
        <f t="shared" si="0"/>
        <v>0.23205206593118086</v>
      </c>
    </row>
    <row r="49" spans="1:8">
      <c r="A49" s="5">
        <v>47</v>
      </c>
      <c r="B49" s="6" t="s">
        <v>764</v>
      </c>
      <c r="C49" s="5">
        <v>17.2</v>
      </c>
      <c r="D49" s="5">
        <v>35</v>
      </c>
      <c r="E49" s="5">
        <v>10</v>
      </c>
      <c r="F49" s="7">
        <v>0.33156689866738948</v>
      </c>
      <c r="G49" s="6">
        <v>1E-3</v>
      </c>
      <c r="H49" s="9">
        <f t="shared" si="0"/>
        <v>0.33056689866738947</v>
      </c>
    </row>
    <row r="50" spans="1:8">
      <c r="A50" s="5">
        <v>48</v>
      </c>
      <c r="B50" s="6" t="s">
        <v>765</v>
      </c>
      <c r="C50" s="5">
        <v>5.2</v>
      </c>
      <c r="D50" s="5">
        <v>35</v>
      </c>
      <c r="E50" s="5">
        <v>10</v>
      </c>
      <c r="F50" s="7">
        <v>1.096721280207519</v>
      </c>
      <c r="G50" s="6">
        <v>1E-3</v>
      </c>
      <c r="H50" s="9">
        <f t="shared" si="0"/>
        <v>1.0957212802075191</v>
      </c>
    </row>
    <row r="51" spans="1:8">
      <c r="A51" s="5">
        <v>49</v>
      </c>
      <c r="B51" s="6" t="s">
        <v>766</v>
      </c>
      <c r="C51" s="5">
        <v>13</v>
      </c>
      <c r="D51" s="5">
        <v>35</v>
      </c>
      <c r="E51" s="5">
        <v>10</v>
      </c>
      <c r="F51" s="7">
        <v>0.43868851208300752</v>
      </c>
      <c r="G51" s="6">
        <v>1.2E-2</v>
      </c>
      <c r="H51" s="9">
        <f t="shared" si="0"/>
        <v>0.42668851208300751</v>
      </c>
    </row>
    <row r="52" spans="1:8">
      <c r="A52" s="5">
        <v>50</v>
      </c>
      <c r="B52" s="6" t="s">
        <v>767</v>
      </c>
      <c r="C52" s="5">
        <v>0.3</v>
      </c>
      <c r="D52" s="5">
        <v>35</v>
      </c>
      <c r="E52" s="5">
        <v>10</v>
      </c>
      <c r="F52" s="7">
        <v>2.7853000000000003</v>
      </c>
      <c r="G52" s="6">
        <v>8.9999999999999993E-3</v>
      </c>
      <c r="H52" s="9">
        <f t="shared" si="0"/>
        <v>2.7763000000000004</v>
      </c>
    </row>
    <row r="53" spans="1:8">
      <c r="A53" s="5">
        <v>51</v>
      </c>
      <c r="B53" s="6" t="s">
        <v>768</v>
      </c>
      <c r="C53" s="5">
        <v>3</v>
      </c>
      <c r="D53" s="5">
        <v>35</v>
      </c>
      <c r="E53" s="5">
        <v>10</v>
      </c>
      <c r="F53" s="7">
        <v>1.9009835523596994</v>
      </c>
      <c r="G53" s="6">
        <f>0.07+0.007</f>
        <v>7.7000000000000013E-2</v>
      </c>
      <c r="H53" s="9">
        <f t="shared" si="0"/>
        <v>1.8239835523596994</v>
      </c>
    </row>
    <row r="54" spans="1:8">
      <c r="A54" s="5">
        <v>52</v>
      </c>
      <c r="B54" s="6" t="s">
        <v>769</v>
      </c>
      <c r="C54" s="5">
        <v>14.8</v>
      </c>
      <c r="D54" s="5">
        <v>35</v>
      </c>
      <c r="E54" s="5">
        <v>10</v>
      </c>
      <c r="F54" s="7">
        <v>0.38533450385669576</v>
      </c>
      <c r="G54" s="6">
        <v>1.7000000000000001E-2</v>
      </c>
      <c r="H54" s="9">
        <f t="shared" si="0"/>
        <v>0.36833450385669575</v>
      </c>
    </row>
    <row r="55" spans="1:8">
      <c r="A55" s="5">
        <v>53</v>
      </c>
      <c r="B55" s="6" t="s">
        <v>770</v>
      </c>
      <c r="C55" s="5">
        <v>0.5</v>
      </c>
      <c r="D55" s="5">
        <v>35</v>
      </c>
      <c r="E55" s="5">
        <v>10</v>
      </c>
      <c r="F55" s="7">
        <v>2.7853000000000003</v>
      </c>
      <c r="G55" s="6">
        <v>1.7000000000000001E-2</v>
      </c>
      <c r="H55" s="9">
        <f t="shared" si="0"/>
        <v>2.7683000000000004</v>
      </c>
    </row>
    <row r="56" spans="1:8">
      <c r="A56" s="5">
        <v>54</v>
      </c>
      <c r="B56" s="6" t="s">
        <v>771</v>
      </c>
      <c r="C56" s="5">
        <v>2.5</v>
      </c>
      <c r="D56" s="5">
        <v>35</v>
      </c>
      <c r="E56" s="5">
        <v>10</v>
      </c>
      <c r="F56" s="7">
        <v>2.2811802628316391</v>
      </c>
      <c r="G56" s="6">
        <v>8.9999999999999993E-3</v>
      </c>
      <c r="H56" s="9">
        <f t="shared" si="0"/>
        <v>2.2721802628316392</v>
      </c>
    </row>
    <row r="57" spans="1:8">
      <c r="A57" s="5">
        <v>55</v>
      </c>
      <c r="B57" s="6" t="s">
        <v>772</v>
      </c>
      <c r="C57" s="5">
        <v>4.0999999999999996</v>
      </c>
      <c r="D57" s="5">
        <v>35</v>
      </c>
      <c r="E57" s="5">
        <v>10</v>
      </c>
      <c r="F57" s="7">
        <v>1.390963574897341</v>
      </c>
      <c r="G57" s="6">
        <f>0.035+0.0055</f>
        <v>4.0500000000000001E-2</v>
      </c>
      <c r="H57" s="9">
        <f t="shared" si="0"/>
        <v>1.350463574897341</v>
      </c>
    </row>
    <row r="58" spans="1:8">
      <c r="A58" s="5">
        <v>56</v>
      </c>
      <c r="B58" s="6" t="s">
        <v>773</v>
      </c>
      <c r="C58" s="5">
        <v>2.6</v>
      </c>
      <c r="D58" s="5">
        <v>35</v>
      </c>
      <c r="E58" s="5">
        <v>10</v>
      </c>
      <c r="F58" s="7">
        <v>2.193442560415038</v>
      </c>
      <c r="G58" s="6">
        <v>0.156</v>
      </c>
      <c r="H58" s="9">
        <f t="shared" si="0"/>
        <v>2.0374425604150379</v>
      </c>
    </row>
    <row r="59" spans="1:8">
      <c r="A59" s="5">
        <v>57</v>
      </c>
      <c r="B59" s="6" t="s">
        <v>774</v>
      </c>
      <c r="C59" s="5">
        <v>2.9</v>
      </c>
      <c r="D59" s="5">
        <v>35</v>
      </c>
      <c r="E59" s="5">
        <v>10</v>
      </c>
      <c r="F59" s="7">
        <v>1.9665347093376202</v>
      </c>
      <c r="G59" s="6">
        <v>6.9000000000000006E-2</v>
      </c>
      <c r="H59" s="9">
        <f t="shared" si="0"/>
        <v>1.8975347093376203</v>
      </c>
    </row>
    <row r="60" spans="1:8">
      <c r="A60" s="5">
        <v>58</v>
      </c>
      <c r="B60" s="6" t="s">
        <v>775</v>
      </c>
      <c r="C60" s="5">
        <v>6.75</v>
      </c>
      <c r="D60" s="5">
        <v>35</v>
      </c>
      <c r="E60" s="5">
        <v>10</v>
      </c>
      <c r="F60" s="7">
        <v>0.84488157882653292</v>
      </c>
      <c r="G60" s="6">
        <f>0.069+0.2386+0.2031</f>
        <v>0.51069999999999993</v>
      </c>
      <c r="H60" s="9">
        <f t="shared" si="0"/>
        <v>0.33418157882653299</v>
      </c>
    </row>
    <row r="61" spans="1:8">
      <c r="A61" s="5">
        <v>59</v>
      </c>
      <c r="B61" s="6" t="s">
        <v>776</v>
      </c>
      <c r="C61" s="5">
        <v>1.08</v>
      </c>
      <c r="D61" s="5">
        <v>35</v>
      </c>
      <c r="E61" s="5">
        <v>10</v>
      </c>
      <c r="F61" s="7">
        <v>2.7853000000000003</v>
      </c>
      <c r="G61" s="6">
        <f>0.017+0.0002</f>
        <v>1.72E-2</v>
      </c>
      <c r="H61" s="9">
        <f t="shared" si="0"/>
        <v>2.7681000000000004</v>
      </c>
    </row>
    <row r="62" spans="1:8">
      <c r="A62" s="5">
        <v>60</v>
      </c>
      <c r="B62" s="6" t="s">
        <v>777</v>
      </c>
      <c r="C62" s="5">
        <v>2.9</v>
      </c>
      <c r="D62" s="5">
        <v>35</v>
      </c>
      <c r="E62" s="5">
        <v>10</v>
      </c>
      <c r="F62" s="7">
        <v>1.9665347093376202</v>
      </c>
      <c r="G62" s="6">
        <v>3.4000000000000002E-2</v>
      </c>
      <c r="H62" s="9">
        <f t="shared" si="0"/>
        <v>1.9325347093376202</v>
      </c>
    </row>
    <row r="63" spans="1:8">
      <c r="A63" s="5">
        <v>61</v>
      </c>
      <c r="B63" s="6" t="s">
        <v>778</v>
      </c>
      <c r="C63" s="5">
        <v>8.6999999999999993</v>
      </c>
      <c r="D63" s="5">
        <v>35</v>
      </c>
      <c r="E63" s="5">
        <v>10</v>
      </c>
      <c r="F63" s="7">
        <v>0.65551156977920677</v>
      </c>
      <c r="G63" s="6">
        <v>1.7000000000000001E-2</v>
      </c>
      <c r="H63" s="9">
        <f t="shared" si="0"/>
        <v>0.63851156977920676</v>
      </c>
    </row>
    <row r="64" spans="1:8">
      <c r="A64" s="5">
        <v>62</v>
      </c>
      <c r="B64" s="6" t="s">
        <v>779</v>
      </c>
      <c r="C64" s="5">
        <v>5.2</v>
      </c>
      <c r="D64" s="5">
        <v>35</v>
      </c>
      <c r="E64" s="5">
        <v>10</v>
      </c>
      <c r="F64" s="7">
        <v>1.096721280207519</v>
      </c>
      <c r="G64" s="6">
        <v>3.3000000000000002E-2</v>
      </c>
      <c r="H64" s="9">
        <f t="shared" si="0"/>
        <v>1.0637212802075191</v>
      </c>
    </row>
    <row r="65" spans="1:8">
      <c r="A65" s="5">
        <v>63</v>
      </c>
      <c r="B65" s="6" t="s">
        <v>780</v>
      </c>
      <c r="C65" s="5">
        <v>9.6</v>
      </c>
      <c r="D65" s="5">
        <v>35</v>
      </c>
      <c r="E65" s="5">
        <v>10</v>
      </c>
      <c r="F65" s="7">
        <v>0.59405736011240595</v>
      </c>
      <c r="G65" s="10">
        <f>0.158+0.0146+0.0092+0.0047+0.0051+0.0039+0.00397</f>
        <v>0.19947000000000001</v>
      </c>
      <c r="H65" s="9">
        <f t="shared" si="0"/>
        <v>0.39458736011240592</v>
      </c>
    </row>
    <row r="66" spans="1:8">
      <c r="A66" s="5">
        <v>64</v>
      </c>
      <c r="B66" s="6" t="s">
        <v>781</v>
      </c>
      <c r="C66" s="5">
        <v>12.2</v>
      </c>
      <c r="D66" s="5">
        <v>35</v>
      </c>
      <c r="E66" s="5">
        <v>10</v>
      </c>
      <c r="F66" s="7">
        <v>0.46745497189172935</v>
      </c>
      <c r="G66" s="10">
        <f>0.919+0.01256+0.006+0.011685+0.0085+0.0055+0.0081+0.02535</f>
        <v>0.99669499999999989</v>
      </c>
      <c r="H66" s="9">
        <f t="shared" si="0"/>
        <v>-0.52924002810827053</v>
      </c>
    </row>
    <row r="67" spans="1:8">
      <c r="A67" s="5">
        <v>65</v>
      </c>
      <c r="B67" s="6" t="s">
        <v>782</v>
      </c>
      <c r="C67" s="5">
        <v>0.24</v>
      </c>
      <c r="D67" s="5">
        <v>35</v>
      </c>
      <c r="E67" s="5">
        <v>10</v>
      </c>
      <c r="F67" s="7">
        <v>2.7853000000000003</v>
      </c>
      <c r="G67" s="6">
        <v>3.5000000000000003E-2</v>
      </c>
      <c r="H67" s="9">
        <f t="shared" si="0"/>
        <v>2.7503000000000002</v>
      </c>
    </row>
    <row r="68" spans="1:8">
      <c r="A68" s="5">
        <v>66</v>
      </c>
      <c r="B68" s="6" t="s">
        <v>783</v>
      </c>
      <c r="C68" s="5">
        <v>1.4</v>
      </c>
      <c r="D68" s="5">
        <v>35</v>
      </c>
      <c r="E68" s="5">
        <v>10</v>
      </c>
      <c r="F68" s="7">
        <v>2.7853000000000003</v>
      </c>
      <c r="G68" s="6">
        <v>0.06</v>
      </c>
      <c r="H68" s="9">
        <f t="shared" ref="H68:H79" si="1">F68-G68</f>
        <v>2.7253000000000003</v>
      </c>
    </row>
    <row r="69" spans="1:8">
      <c r="A69" s="5">
        <v>67</v>
      </c>
      <c r="B69" s="6" t="s">
        <v>784</v>
      </c>
      <c r="C69" s="5">
        <v>6.44</v>
      </c>
      <c r="D69" s="5">
        <v>35</v>
      </c>
      <c r="E69" s="5">
        <v>10</v>
      </c>
      <c r="F69" s="7">
        <v>0.8855513442669406</v>
      </c>
      <c r="G69" s="6">
        <f>0.269+0.0078</f>
        <v>0.27679999999999999</v>
      </c>
      <c r="H69" s="9">
        <f t="shared" si="1"/>
        <v>0.60875134426694055</v>
      </c>
    </row>
    <row r="70" spans="1:8">
      <c r="A70" s="5">
        <v>68</v>
      </c>
      <c r="B70" s="6" t="s">
        <v>785</v>
      </c>
      <c r="C70" s="5">
        <v>7.2</v>
      </c>
      <c r="D70" s="5">
        <v>35</v>
      </c>
      <c r="E70" s="5">
        <v>10</v>
      </c>
      <c r="F70" s="7">
        <v>0.79207648014987464</v>
      </c>
      <c r="G70" s="6">
        <f>0.057+0.0096</f>
        <v>6.6600000000000006E-2</v>
      </c>
      <c r="H70" s="9">
        <f t="shared" si="1"/>
        <v>0.72547648014987465</v>
      </c>
    </row>
    <row r="71" spans="1:8">
      <c r="A71" s="5">
        <v>69</v>
      </c>
      <c r="B71" s="6" t="s">
        <v>786</v>
      </c>
      <c r="C71" s="5">
        <v>2.1</v>
      </c>
      <c r="D71" s="5">
        <v>50</v>
      </c>
      <c r="E71" s="5">
        <v>10</v>
      </c>
      <c r="F71" s="7">
        <v>3.3423600000000007</v>
      </c>
      <c r="G71" s="6">
        <v>5.1999999999999998E-2</v>
      </c>
      <c r="H71" s="9">
        <f t="shared" si="1"/>
        <v>3.2903600000000006</v>
      </c>
    </row>
    <row r="72" spans="1:8">
      <c r="A72" s="5">
        <v>70</v>
      </c>
      <c r="B72" s="6" t="s">
        <v>787</v>
      </c>
      <c r="C72" s="5">
        <v>0.91</v>
      </c>
      <c r="D72" s="5">
        <v>35</v>
      </c>
      <c r="E72" s="5">
        <v>10</v>
      </c>
      <c r="F72" s="7">
        <v>2.7853000000000003</v>
      </c>
      <c r="G72" s="6">
        <v>6.9000000000000006E-2</v>
      </c>
      <c r="H72" s="9">
        <f t="shared" si="1"/>
        <v>2.7163000000000004</v>
      </c>
    </row>
    <row r="73" spans="1:8">
      <c r="A73" s="5">
        <v>71</v>
      </c>
      <c r="B73" s="6" t="s">
        <v>788</v>
      </c>
      <c r="C73" s="5">
        <v>6.5</v>
      </c>
      <c r="D73" s="5">
        <v>50</v>
      </c>
      <c r="E73" s="5">
        <v>10</v>
      </c>
      <c r="F73" s="7">
        <v>1.1314025702514914</v>
      </c>
      <c r="G73" s="6">
        <f>0.344+0.0128</f>
        <v>0.35679999999999995</v>
      </c>
      <c r="H73" s="9">
        <f t="shared" si="1"/>
        <v>0.77460257025149137</v>
      </c>
    </row>
    <row r="74" spans="1:8">
      <c r="A74" s="5">
        <v>72</v>
      </c>
      <c r="B74" s="6" t="s">
        <v>789</v>
      </c>
      <c r="C74" s="5">
        <v>4.41</v>
      </c>
      <c r="D74" s="5">
        <v>35</v>
      </c>
      <c r="E74" s="5">
        <v>10</v>
      </c>
      <c r="F74" s="7">
        <v>1.2931860900406118</v>
      </c>
      <c r="G74" s="6">
        <f>0.241+0.004</f>
        <v>0.245</v>
      </c>
      <c r="H74" s="9">
        <f t="shared" si="1"/>
        <v>1.0481860900406117</v>
      </c>
    </row>
    <row r="75" spans="1:8">
      <c r="A75" s="5">
        <v>73</v>
      </c>
      <c r="B75" s="6" t="s">
        <v>790</v>
      </c>
      <c r="C75" s="5">
        <v>5.04</v>
      </c>
      <c r="D75" s="5">
        <v>35</v>
      </c>
      <c r="E75" s="5">
        <v>10</v>
      </c>
      <c r="F75" s="7">
        <v>1.1315378287855353</v>
      </c>
      <c r="G75" s="6">
        <f>0.172+0.00989</f>
        <v>0.18189</v>
      </c>
      <c r="H75" s="9">
        <f t="shared" si="1"/>
        <v>0.94964782878553533</v>
      </c>
    </row>
    <row r="76" spans="1:8">
      <c r="A76" s="5">
        <v>74</v>
      </c>
      <c r="B76" s="6" t="s">
        <v>791</v>
      </c>
      <c r="C76" s="5">
        <v>2.2000000000000002</v>
      </c>
      <c r="D76" s="5">
        <v>35</v>
      </c>
      <c r="E76" s="5">
        <v>10</v>
      </c>
      <c r="F76" s="7">
        <v>2.592250298672317</v>
      </c>
      <c r="G76" s="6">
        <v>5.1999999999999998E-2</v>
      </c>
      <c r="H76" s="9">
        <f t="shared" si="1"/>
        <v>2.540250298672317</v>
      </c>
    </row>
    <row r="77" spans="1:8">
      <c r="A77" s="5">
        <v>75</v>
      </c>
      <c r="B77" s="6" t="s">
        <v>792</v>
      </c>
      <c r="C77" s="5">
        <v>23.9</v>
      </c>
      <c r="D77" s="5">
        <v>35</v>
      </c>
      <c r="E77" s="5">
        <v>10</v>
      </c>
      <c r="F77" s="7">
        <v>0.2386171823045648</v>
      </c>
      <c r="G77" s="6">
        <v>5.1999999999999998E-2</v>
      </c>
      <c r="H77" s="9">
        <f t="shared" si="1"/>
        <v>0.18661718230456481</v>
      </c>
    </row>
    <row r="78" spans="1:8">
      <c r="A78" s="5">
        <v>76</v>
      </c>
      <c r="B78" s="6" t="s">
        <v>793</v>
      </c>
      <c r="C78" s="5">
        <v>4.8</v>
      </c>
      <c r="D78" s="5">
        <v>35</v>
      </c>
      <c r="E78" s="5">
        <v>10</v>
      </c>
      <c r="F78" s="7">
        <v>1.1881147202248123</v>
      </c>
      <c r="G78" s="6">
        <v>0.05</v>
      </c>
      <c r="H78" s="9">
        <f t="shared" si="1"/>
        <v>1.1381147202248123</v>
      </c>
    </row>
    <row r="79" spans="1:8">
      <c r="A79" s="5">
        <v>77</v>
      </c>
      <c r="B79" s="6" t="s">
        <v>794</v>
      </c>
      <c r="C79" s="5">
        <v>30.57</v>
      </c>
      <c r="D79" s="5">
        <v>35</v>
      </c>
      <c r="E79" s="5">
        <v>10</v>
      </c>
      <c r="F79" s="7">
        <v>0.18655383241999013</v>
      </c>
      <c r="G79" s="6">
        <v>1.7000000000000001E-2</v>
      </c>
      <c r="H79" s="9">
        <f t="shared" si="1"/>
        <v>0.16955383241999011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4" sqref="G4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795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796</v>
      </c>
      <c r="C3" s="5">
        <v>9.52</v>
      </c>
      <c r="D3" s="5">
        <v>35</v>
      </c>
      <c r="E3" s="5">
        <v>10</v>
      </c>
      <c r="F3" s="7">
        <v>0.59904943876881278</v>
      </c>
      <c r="G3" s="6">
        <f>0.618+0.0396</f>
        <v>0.65759999999999996</v>
      </c>
      <c r="H3" s="9">
        <f>F3-G3</f>
        <v>-5.8550561231187181E-2</v>
      </c>
    </row>
    <row r="4" spans="1:9">
      <c r="A4" s="5">
        <v>2</v>
      </c>
      <c r="B4" s="6" t="s">
        <v>797</v>
      </c>
      <c r="C4" s="5">
        <v>7.6</v>
      </c>
      <c r="D4" s="5">
        <v>35</v>
      </c>
      <c r="E4" s="5">
        <v>10</v>
      </c>
      <c r="F4" s="7">
        <v>0.75038824435251283</v>
      </c>
      <c r="G4" s="6">
        <f>0.652+0.00981</f>
        <v>0.66181000000000001</v>
      </c>
      <c r="H4" s="9">
        <f t="shared" ref="H4:H63" si="0">F4-G4</f>
        <v>8.8578244352512825E-2</v>
      </c>
    </row>
    <row r="5" spans="1:9">
      <c r="A5" s="5">
        <v>3</v>
      </c>
      <c r="B5" s="6" t="s">
        <v>798</v>
      </c>
      <c r="C5" s="5">
        <v>9.6</v>
      </c>
      <c r="D5" s="5">
        <v>35</v>
      </c>
      <c r="E5" s="5">
        <v>10</v>
      </c>
      <c r="F5" s="7">
        <v>0.59405736011240617</v>
      </c>
      <c r="G5" s="6">
        <v>0.23400000000000001</v>
      </c>
      <c r="H5" s="9">
        <f t="shared" si="0"/>
        <v>0.36005736011240619</v>
      </c>
    </row>
    <row r="6" spans="1:9">
      <c r="A6" s="5">
        <v>4</v>
      </c>
      <c r="B6" s="6" t="s">
        <v>799</v>
      </c>
      <c r="C6" s="5">
        <v>4.5</v>
      </c>
      <c r="D6" s="5">
        <v>35</v>
      </c>
      <c r="E6" s="5">
        <v>10</v>
      </c>
      <c r="F6" s="7">
        <v>1.2673223682397996</v>
      </c>
      <c r="G6" s="6">
        <v>0.26700000000000002</v>
      </c>
      <c r="H6" s="9">
        <f t="shared" si="0"/>
        <v>1.0003223682397997</v>
      </c>
    </row>
    <row r="7" spans="1:9">
      <c r="A7" s="5">
        <v>5</v>
      </c>
      <c r="B7" s="6" t="s">
        <v>800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0.435</v>
      </c>
      <c r="H7" s="9">
        <f t="shared" si="0"/>
        <v>0.86112514933615847</v>
      </c>
    </row>
    <row r="8" spans="1:9">
      <c r="A8" s="5">
        <v>6</v>
      </c>
      <c r="B8" s="6" t="s">
        <v>801</v>
      </c>
      <c r="C8" s="5">
        <v>3.34</v>
      </c>
      <c r="D8" s="5">
        <v>35</v>
      </c>
      <c r="E8" s="5">
        <v>10</v>
      </c>
      <c r="F8" s="7">
        <v>1.7074702566105087</v>
      </c>
      <c r="G8" s="6">
        <v>8.4000000000000005E-2</v>
      </c>
      <c r="H8" s="9">
        <f t="shared" si="0"/>
        <v>1.6234702566105086</v>
      </c>
    </row>
    <row r="9" spans="1:9">
      <c r="A9" s="5">
        <v>7</v>
      </c>
      <c r="B9" s="6" t="s">
        <v>802</v>
      </c>
      <c r="C9" s="5">
        <v>1.8</v>
      </c>
      <c r="D9" s="5">
        <v>35</v>
      </c>
      <c r="E9" s="5">
        <v>10</v>
      </c>
      <c r="F9" s="7">
        <v>2.7853000000000003</v>
      </c>
      <c r="G9" s="6">
        <v>0.66800000000000004</v>
      </c>
      <c r="H9" s="9">
        <f t="shared" si="0"/>
        <v>2.1173000000000002</v>
      </c>
    </row>
    <row r="10" spans="1:9">
      <c r="A10" s="5">
        <v>8</v>
      </c>
      <c r="B10" s="6" t="s">
        <v>803</v>
      </c>
      <c r="C10" s="5">
        <v>5.0999999999999996</v>
      </c>
      <c r="D10" s="5">
        <v>35</v>
      </c>
      <c r="E10" s="5">
        <v>10</v>
      </c>
      <c r="F10" s="7">
        <v>1.1182256190351172</v>
      </c>
      <c r="G10" s="6">
        <v>0.43</v>
      </c>
      <c r="H10" s="9">
        <f t="shared" si="0"/>
        <v>0.68822561903511725</v>
      </c>
    </row>
    <row r="11" spans="1:9">
      <c r="A11" s="5">
        <v>9</v>
      </c>
      <c r="B11" s="6" t="s">
        <v>804</v>
      </c>
      <c r="C11" s="5">
        <v>0.8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9">
        <f t="shared" si="0"/>
        <v>2.7683000000000004</v>
      </c>
    </row>
    <row r="12" spans="1:9">
      <c r="A12" s="5">
        <v>10</v>
      </c>
      <c r="B12" s="6" t="s">
        <v>805</v>
      </c>
      <c r="C12" s="5">
        <v>1.2</v>
      </c>
      <c r="D12" s="5">
        <v>50</v>
      </c>
      <c r="E12" s="5">
        <v>10</v>
      </c>
      <c r="F12" s="7">
        <v>3.3423600000000007</v>
      </c>
      <c r="G12" s="6">
        <v>1.7000000000000001E-2</v>
      </c>
      <c r="H12" s="9">
        <f t="shared" si="0"/>
        <v>3.3253600000000008</v>
      </c>
    </row>
    <row r="13" spans="1:9">
      <c r="A13" s="5">
        <v>11</v>
      </c>
      <c r="B13" s="6" t="s">
        <v>806</v>
      </c>
      <c r="C13" s="5">
        <v>1.77</v>
      </c>
      <c r="D13" s="5">
        <v>70</v>
      </c>
      <c r="E13" s="5">
        <v>10</v>
      </c>
      <c r="F13" s="7">
        <v>4.2177400000000009</v>
      </c>
      <c r="G13" s="6">
        <f>0.034+0.00765</f>
        <v>4.165E-2</v>
      </c>
      <c r="H13" s="9">
        <f t="shared" si="0"/>
        <v>4.1760900000000012</v>
      </c>
    </row>
    <row r="14" spans="1:9">
      <c r="A14" s="5">
        <v>12</v>
      </c>
      <c r="B14" s="6" t="s">
        <v>807</v>
      </c>
      <c r="C14" s="5">
        <v>14.56</v>
      </c>
      <c r="D14" s="5">
        <v>35</v>
      </c>
      <c r="E14" s="5">
        <v>10</v>
      </c>
      <c r="F14" s="7">
        <v>0.39168617150268531</v>
      </c>
      <c r="G14" s="6">
        <v>0.251</v>
      </c>
      <c r="H14" s="9">
        <f t="shared" si="0"/>
        <v>0.14068617150268531</v>
      </c>
    </row>
    <row r="15" spans="1:9">
      <c r="A15" s="5">
        <v>13</v>
      </c>
      <c r="B15" s="6" t="s">
        <v>808</v>
      </c>
      <c r="C15" s="5">
        <v>2.8</v>
      </c>
      <c r="D15" s="5">
        <v>35</v>
      </c>
      <c r="E15" s="5">
        <v>10</v>
      </c>
      <c r="F15" s="7">
        <v>2.0367680918139635</v>
      </c>
      <c r="G15" s="6">
        <v>8.4000000000000005E-2</v>
      </c>
      <c r="H15" s="9">
        <f t="shared" si="0"/>
        <v>1.9527680918139634</v>
      </c>
    </row>
    <row r="16" spans="1:9">
      <c r="A16" s="5">
        <v>14</v>
      </c>
      <c r="B16" s="6" t="s">
        <v>809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f>0.267+0.008</f>
        <v>0.27500000000000002</v>
      </c>
      <c r="H16" s="9">
        <f t="shared" si="0"/>
        <v>0.14744078941326644</v>
      </c>
    </row>
    <row r="17" spans="1:8">
      <c r="A17" s="5">
        <v>15</v>
      </c>
      <c r="B17" s="6" t="s">
        <v>810</v>
      </c>
      <c r="C17" s="5">
        <v>1.8</v>
      </c>
      <c r="D17" s="5">
        <v>35</v>
      </c>
      <c r="E17" s="5">
        <v>10</v>
      </c>
      <c r="F17" s="7">
        <v>2.7853000000000003</v>
      </c>
      <c r="G17" s="6">
        <v>8.4000000000000005E-2</v>
      </c>
      <c r="H17" s="9">
        <f t="shared" si="0"/>
        <v>2.7013000000000003</v>
      </c>
    </row>
    <row r="18" spans="1:8">
      <c r="A18" s="5">
        <v>16</v>
      </c>
      <c r="B18" s="6" t="s">
        <v>811</v>
      </c>
      <c r="C18" s="5">
        <v>12.2</v>
      </c>
      <c r="D18" s="5">
        <v>25</v>
      </c>
      <c r="E18" s="5">
        <v>10</v>
      </c>
      <c r="F18" s="7">
        <v>0.31746163200123678</v>
      </c>
      <c r="G18" s="6">
        <v>0.152</v>
      </c>
      <c r="H18" s="9">
        <f t="shared" si="0"/>
        <v>0.16546163200123679</v>
      </c>
    </row>
    <row r="19" spans="1:8">
      <c r="A19" s="5">
        <v>17</v>
      </c>
      <c r="B19" s="6" t="s">
        <v>812</v>
      </c>
      <c r="C19" s="5">
        <v>0.5</v>
      </c>
      <c r="D19" s="5">
        <v>25</v>
      </c>
      <c r="E19" s="5">
        <v>10</v>
      </c>
      <c r="F19" s="7">
        <v>2.0690800000000005</v>
      </c>
      <c r="G19" s="6">
        <v>1.7000000000000001E-2</v>
      </c>
      <c r="H19" s="9">
        <f t="shared" si="0"/>
        <v>2.0520800000000006</v>
      </c>
    </row>
    <row r="20" spans="1:8">
      <c r="A20" s="5">
        <v>18</v>
      </c>
      <c r="B20" s="6" t="s">
        <v>813</v>
      </c>
      <c r="C20" s="5">
        <v>2</v>
      </c>
      <c r="D20" s="5">
        <v>35</v>
      </c>
      <c r="E20" s="5">
        <v>10</v>
      </c>
      <c r="F20" s="7">
        <v>2.7853000000000003</v>
      </c>
      <c r="G20" s="6">
        <v>6.7000000000000004E-2</v>
      </c>
      <c r="H20" s="9">
        <f t="shared" si="0"/>
        <v>2.7183000000000002</v>
      </c>
    </row>
    <row r="21" spans="1:8">
      <c r="A21" s="5">
        <v>19</v>
      </c>
      <c r="B21" s="6" t="s">
        <v>814</v>
      </c>
      <c r="C21" s="5">
        <v>0.38</v>
      </c>
      <c r="D21" s="5">
        <v>25</v>
      </c>
      <c r="E21" s="5">
        <v>10</v>
      </c>
      <c r="F21" s="7">
        <v>2.0690800000000005</v>
      </c>
      <c r="G21" s="6">
        <v>1.2999999999999999E-2</v>
      </c>
      <c r="H21" s="9">
        <f t="shared" si="0"/>
        <v>2.0560800000000006</v>
      </c>
    </row>
    <row r="22" spans="1:8">
      <c r="A22" s="5">
        <v>20</v>
      </c>
      <c r="B22" s="6" t="s">
        <v>815</v>
      </c>
      <c r="C22" s="5">
        <v>0.4</v>
      </c>
      <c r="D22" s="5">
        <v>35</v>
      </c>
      <c r="E22" s="5">
        <v>10</v>
      </c>
      <c r="F22" s="7">
        <v>2.7853000000000003</v>
      </c>
      <c r="G22" s="6">
        <v>2.5000000000000001E-2</v>
      </c>
      <c r="H22" s="9">
        <f t="shared" si="0"/>
        <v>2.7603000000000004</v>
      </c>
    </row>
    <row r="23" spans="1:8">
      <c r="A23" s="5">
        <v>21</v>
      </c>
      <c r="B23" s="6" t="s">
        <v>816</v>
      </c>
      <c r="C23" s="5">
        <v>11.2</v>
      </c>
      <c r="D23" s="5">
        <v>35</v>
      </c>
      <c r="E23" s="5">
        <v>10</v>
      </c>
      <c r="F23" s="7">
        <v>0.50919202295349086</v>
      </c>
      <c r="G23" s="6">
        <f>0.045+0.035</f>
        <v>0.08</v>
      </c>
      <c r="H23" s="9">
        <f t="shared" si="0"/>
        <v>0.42919202295349085</v>
      </c>
    </row>
    <row r="24" spans="1:8">
      <c r="A24" s="5">
        <v>22</v>
      </c>
      <c r="B24" s="6" t="s">
        <v>817</v>
      </c>
      <c r="C24" s="5">
        <v>3.36</v>
      </c>
      <c r="D24" s="5">
        <v>35</v>
      </c>
      <c r="E24" s="5">
        <v>10</v>
      </c>
      <c r="F24" s="7">
        <v>1.6973067431783029</v>
      </c>
      <c r="G24" s="6">
        <v>0.111</v>
      </c>
      <c r="H24" s="9">
        <f t="shared" si="0"/>
        <v>1.5863067431783029</v>
      </c>
    </row>
    <row r="25" spans="1:8">
      <c r="A25" s="5">
        <v>23</v>
      </c>
      <c r="B25" s="6" t="s">
        <v>818</v>
      </c>
      <c r="C25" s="5">
        <v>1.4</v>
      </c>
      <c r="D25" s="5">
        <v>35</v>
      </c>
      <c r="E25" s="5">
        <v>10</v>
      </c>
      <c r="F25" s="7">
        <v>2.7853000000000003</v>
      </c>
      <c r="G25" s="6">
        <v>3.2000000000000001E-2</v>
      </c>
      <c r="H25" s="9">
        <f t="shared" si="0"/>
        <v>2.7533000000000003</v>
      </c>
    </row>
    <row r="26" spans="1:8">
      <c r="A26" s="5">
        <v>24</v>
      </c>
      <c r="B26" s="6" t="s">
        <v>819</v>
      </c>
      <c r="C26" s="5">
        <v>6.7</v>
      </c>
      <c r="D26" s="5">
        <v>50</v>
      </c>
      <c r="E26" s="5">
        <v>10</v>
      </c>
      <c r="F26" s="7">
        <v>1.0976293591992081</v>
      </c>
      <c r="G26" s="6">
        <v>3.2000000000000001E-2</v>
      </c>
      <c r="H26" s="9">
        <f t="shared" si="0"/>
        <v>1.0656293591992081</v>
      </c>
    </row>
    <row r="27" spans="1:8">
      <c r="A27" s="5">
        <v>25</v>
      </c>
      <c r="B27" s="6" t="s">
        <v>820</v>
      </c>
      <c r="C27" s="5">
        <v>7.7</v>
      </c>
      <c r="D27" s="5">
        <v>50</v>
      </c>
      <c r="E27" s="5">
        <v>10</v>
      </c>
      <c r="F27" s="7">
        <v>0.95508009177073949</v>
      </c>
      <c r="G27" s="6">
        <v>3.2000000000000001E-2</v>
      </c>
      <c r="H27" s="9">
        <f t="shared" si="0"/>
        <v>0.92308009177073946</v>
      </c>
    </row>
    <row r="28" spans="1:8">
      <c r="A28" s="5">
        <v>26</v>
      </c>
      <c r="B28" s="6" t="s">
        <v>821</v>
      </c>
      <c r="C28" s="5">
        <v>0.06</v>
      </c>
      <c r="D28" s="5">
        <v>50</v>
      </c>
      <c r="E28" s="5">
        <v>10</v>
      </c>
      <c r="F28" s="7">
        <v>3.3423600000000007</v>
      </c>
      <c r="G28" s="6">
        <v>0</v>
      </c>
      <c r="H28" s="9">
        <f t="shared" si="0"/>
        <v>3.3423600000000007</v>
      </c>
    </row>
    <row r="29" spans="1:8">
      <c r="A29" s="5">
        <v>27</v>
      </c>
      <c r="B29" s="6" t="s">
        <v>822</v>
      </c>
      <c r="C29" s="5">
        <v>2.8</v>
      </c>
      <c r="D29" s="5">
        <v>50</v>
      </c>
      <c r="E29" s="5">
        <v>10</v>
      </c>
      <c r="F29" s="7">
        <v>2.6264702523695336</v>
      </c>
      <c r="G29" s="6">
        <f>0.04+0.0008</f>
        <v>4.0800000000000003E-2</v>
      </c>
      <c r="H29" s="9">
        <f t="shared" si="0"/>
        <v>2.5856702523695336</v>
      </c>
    </row>
    <row r="30" spans="1:8">
      <c r="A30" s="5">
        <v>28</v>
      </c>
      <c r="B30" s="6" t="s">
        <v>823</v>
      </c>
      <c r="C30" s="5">
        <v>22.05</v>
      </c>
      <c r="D30" s="5">
        <v>50</v>
      </c>
      <c r="E30" s="5">
        <v>10</v>
      </c>
      <c r="F30" s="7">
        <v>0.33352003204692487</v>
      </c>
      <c r="G30" s="6">
        <v>2E-3</v>
      </c>
      <c r="H30" s="9">
        <f t="shared" si="0"/>
        <v>0.33152003204692487</v>
      </c>
    </row>
    <row r="31" spans="1:8">
      <c r="A31" s="5">
        <v>29</v>
      </c>
      <c r="B31" s="6" t="s">
        <v>824</v>
      </c>
      <c r="C31" s="5">
        <v>3.36</v>
      </c>
      <c r="D31" s="5">
        <v>50</v>
      </c>
      <c r="E31" s="5">
        <v>10</v>
      </c>
      <c r="F31" s="7">
        <v>2.1887252103079446</v>
      </c>
      <c r="G31" s="6">
        <v>0.13400000000000001</v>
      </c>
      <c r="H31" s="9">
        <f t="shared" si="0"/>
        <v>2.0547252103079447</v>
      </c>
    </row>
    <row r="32" spans="1:8">
      <c r="A32" s="5">
        <v>30</v>
      </c>
      <c r="B32" s="6" t="s">
        <v>825</v>
      </c>
      <c r="C32" s="5">
        <v>2.65</v>
      </c>
      <c r="D32" s="5">
        <v>50</v>
      </c>
      <c r="E32" s="5">
        <v>10</v>
      </c>
      <c r="F32" s="7">
        <v>2.7751383798621485</v>
      </c>
      <c r="G32" s="6">
        <v>3.3000000000000002E-2</v>
      </c>
      <c r="H32" s="9">
        <f t="shared" si="0"/>
        <v>2.7421383798621486</v>
      </c>
    </row>
    <row r="33" spans="1:8">
      <c r="A33" s="5">
        <v>31</v>
      </c>
      <c r="B33" s="6" t="s">
        <v>826</v>
      </c>
      <c r="C33" s="5">
        <v>3.2</v>
      </c>
      <c r="D33" s="5">
        <v>50</v>
      </c>
      <c r="E33" s="5">
        <v>10</v>
      </c>
      <c r="F33" s="7">
        <v>2.2981614708233415</v>
      </c>
      <c r="G33" s="6">
        <v>1.7000000000000001E-2</v>
      </c>
      <c r="H33" s="9">
        <f t="shared" si="0"/>
        <v>2.2811614708233416</v>
      </c>
    </row>
    <row r="34" spans="1:8">
      <c r="A34" s="5">
        <v>32</v>
      </c>
      <c r="B34" s="6" t="s">
        <v>827</v>
      </c>
      <c r="C34" s="5">
        <v>8.9</v>
      </c>
      <c r="D34" s="5">
        <v>50</v>
      </c>
      <c r="E34" s="5">
        <v>10</v>
      </c>
      <c r="F34" s="7">
        <v>0.82630524793648241</v>
      </c>
      <c r="G34" s="6">
        <f>0.033+0.00472</f>
        <v>3.7720000000000004E-2</v>
      </c>
      <c r="H34" s="9">
        <f t="shared" si="0"/>
        <v>0.78858524793648244</v>
      </c>
    </row>
    <row r="35" spans="1:8">
      <c r="A35" s="5">
        <v>33</v>
      </c>
      <c r="B35" s="6" t="s">
        <v>828</v>
      </c>
      <c r="C35" s="5">
        <v>0.14000000000000001</v>
      </c>
      <c r="D35" s="5">
        <v>50</v>
      </c>
      <c r="E35" s="5">
        <v>10</v>
      </c>
      <c r="F35" s="7">
        <v>3.3423600000000007</v>
      </c>
      <c r="G35" s="6">
        <v>7.0000000000000001E-3</v>
      </c>
      <c r="H35" s="9">
        <f t="shared" si="0"/>
        <v>3.3353600000000005</v>
      </c>
    </row>
    <row r="36" spans="1:8">
      <c r="A36" s="5">
        <v>34</v>
      </c>
      <c r="B36" s="6" t="s">
        <v>829</v>
      </c>
      <c r="C36" s="5">
        <v>2.5</v>
      </c>
      <c r="D36" s="5">
        <v>35</v>
      </c>
      <c r="E36" s="5">
        <v>10</v>
      </c>
      <c r="F36" s="7">
        <v>2.2811802628316391</v>
      </c>
      <c r="G36" s="6">
        <v>5.0999999999999997E-2</v>
      </c>
      <c r="H36" s="9">
        <f t="shared" si="0"/>
        <v>2.2301802628316389</v>
      </c>
    </row>
    <row r="37" spans="1:8">
      <c r="A37" s="5">
        <v>35</v>
      </c>
      <c r="B37" s="6" t="s">
        <v>830</v>
      </c>
      <c r="C37" s="5">
        <v>0.8</v>
      </c>
      <c r="D37" s="5">
        <v>50</v>
      </c>
      <c r="E37" s="5">
        <v>10</v>
      </c>
      <c r="F37" s="7">
        <v>3.3423600000000007</v>
      </c>
      <c r="G37" s="6">
        <v>7.0999999999999994E-2</v>
      </c>
      <c r="H37" s="9">
        <f t="shared" si="0"/>
        <v>3.2713600000000005</v>
      </c>
    </row>
    <row r="38" spans="1:8">
      <c r="A38" s="5">
        <v>36</v>
      </c>
      <c r="B38" s="15" t="s">
        <v>831</v>
      </c>
      <c r="C38" s="5">
        <v>0.8</v>
      </c>
      <c r="D38" s="5">
        <v>50</v>
      </c>
      <c r="E38" s="5">
        <v>10</v>
      </c>
      <c r="F38" s="7">
        <v>3.3423600000000007</v>
      </c>
      <c r="G38" s="6"/>
      <c r="H38" s="9">
        <f t="shared" si="0"/>
        <v>3.3423600000000007</v>
      </c>
    </row>
    <row r="39" spans="1:8">
      <c r="A39" s="5">
        <v>37</v>
      </c>
      <c r="B39" s="6" t="s">
        <v>832</v>
      </c>
      <c r="C39" s="5">
        <v>25.8</v>
      </c>
      <c r="D39" s="5">
        <v>35</v>
      </c>
      <c r="E39" s="5">
        <v>10</v>
      </c>
      <c r="F39" s="7">
        <v>0.22104459911159294</v>
      </c>
      <c r="G39" s="6">
        <v>0.22500000000000001</v>
      </c>
      <c r="H39" s="9">
        <f t="shared" si="0"/>
        <v>-3.9554008884070679E-3</v>
      </c>
    </row>
    <row r="40" spans="1:8">
      <c r="A40" s="5">
        <v>38</v>
      </c>
      <c r="B40" s="6" t="s">
        <v>833</v>
      </c>
      <c r="C40" s="5">
        <v>28.75</v>
      </c>
      <c r="D40" s="5">
        <v>50</v>
      </c>
      <c r="E40" s="5">
        <v>10</v>
      </c>
      <c r="F40" s="7">
        <v>0.25579536370903283</v>
      </c>
      <c r="G40" s="10">
        <f>0.12+0.0052+0.0105+0.00472</f>
        <v>0.14042000000000002</v>
      </c>
      <c r="H40" s="9">
        <f t="shared" si="0"/>
        <v>0.11537536370903281</v>
      </c>
    </row>
    <row r="41" spans="1:8">
      <c r="A41" s="5">
        <v>39</v>
      </c>
      <c r="B41" s="6" t="s">
        <v>834</v>
      </c>
      <c r="C41" s="5">
        <v>1.3</v>
      </c>
      <c r="D41" s="5">
        <v>50</v>
      </c>
      <c r="E41" s="5">
        <v>10</v>
      </c>
      <c r="F41" s="7">
        <v>3.3423600000000007</v>
      </c>
      <c r="G41" s="6">
        <f>0.101+0.105+0.00597</f>
        <v>0.21197000000000002</v>
      </c>
      <c r="H41" s="9">
        <f t="shared" si="0"/>
        <v>3.1303900000000007</v>
      </c>
    </row>
    <row r="42" spans="1:8">
      <c r="A42" s="5">
        <v>40</v>
      </c>
      <c r="B42" s="6" t="s">
        <v>835</v>
      </c>
      <c r="C42" s="5">
        <v>5.23</v>
      </c>
      <c r="D42" s="5">
        <v>50</v>
      </c>
      <c r="E42" s="5">
        <v>10</v>
      </c>
      <c r="F42" s="7">
        <v>1.4061408616892339</v>
      </c>
      <c r="G42" s="6">
        <v>0.11799999999999999</v>
      </c>
      <c r="H42" s="9">
        <f t="shared" si="0"/>
        <v>1.288140861689234</v>
      </c>
    </row>
    <row r="43" spans="1:8">
      <c r="A43" s="5">
        <v>41</v>
      </c>
      <c r="B43" s="6" t="s">
        <v>836</v>
      </c>
      <c r="C43" s="5">
        <v>3.55</v>
      </c>
      <c r="D43" s="5">
        <v>50</v>
      </c>
      <c r="E43" s="5">
        <v>10</v>
      </c>
      <c r="F43" s="7">
        <v>2.0715821708830124</v>
      </c>
      <c r="G43" s="6">
        <v>2.5999999999999999E-2</v>
      </c>
      <c r="H43" s="9">
        <f t="shared" si="0"/>
        <v>2.0455821708830126</v>
      </c>
    </row>
    <row r="44" spans="1:8">
      <c r="A44" s="5">
        <v>42</v>
      </c>
      <c r="B44" s="6" t="s">
        <v>837</v>
      </c>
      <c r="C44" s="5">
        <v>1.1000000000000001</v>
      </c>
      <c r="D44" s="5">
        <v>50</v>
      </c>
      <c r="E44" s="5">
        <v>10</v>
      </c>
      <c r="F44" s="7">
        <v>3.3423600000000007</v>
      </c>
      <c r="G44" s="6">
        <v>1.7000000000000001E-2</v>
      </c>
      <c r="H44" s="9">
        <f t="shared" si="0"/>
        <v>3.3253600000000008</v>
      </c>
    </row>
    <row r="45" spans="1:8">
      <c r="A45" s="5">
        <v>43</v>
      </c>
      <c r="B45" s="6" t="s">
        <v>838</v>
      </c>
      <c r="C45" s="5">
        <v>1.2</v>
      </c>
      <c r="D45" s="5">
        <v>35</v>
      </c>
      <c r="E45" s="5">
        <v>10</v>
      </c>
      <c r="F45" s="7">
        <v>2.7853000000000003</v>
      </c>
      <c r="G45" s="6">
        <v>1.7000000000000001E-2</v>
      </c>
      <c r="H45" s="9">
        <f t="shared" si="0"/>
        <v>2.7683000000000004</v>
      </c>
    </row>
    <row r="46" spans="1:8">
      <c r="A46" s="5">
        <v>44</v>
      </c>
      <c r="B46" s="6" t="s">
        <v>839</v>
      </c>
      <c r="C46" s="5">
        <v>4.78</v>
      </c>
      <c r="D46" s="5">
        <v>50</v>
      </c>
      <c r="E46" s="5">
        <v>10</v>
      </c>
      <c r="F46" s="7">
        <v>1.5385181394633247</v>
      </c>
      <c r="G46" s="10">
        <f>0.032+0.0088+0.0044+0.00075</f>
        <v>4.5950000000000005E-2</v>
      </c>
      <c r="H46" s="9">
        <f t="shared" si="0"/>
        <v>1.4925681394633248</v>
      </c>
    </row>
    <row r="47" spans="1:8">
      <c r="A47" s="5">
        <v>45</v>
      </c>
      <c r="B47" s="6" t="s">
        <v>840</v>
      </c>
      <c r="C47" s="5">
        <v>1.1000000000000001</v>
      </c>
      <c r="D47" s="5">
        <v>50</v>
      </c>
      <c r="E47" s="5">
        <v>10</v>
      </c>
      <c r="F47" s="7">
        <v>3.3423600000000007</v>
      </c>
      <c r="G47" s="6">
        <v>4.0000000000000001E-3</v>
      </c>
      <c r="H47" s="9">
        <f t="shared" si="0"/>
        <v>3.3383600000000007</v>
      </c>
    </row>
    <row r="48" spans="1:8">
      <c r="A48" s="5">
        <v>46</v>
      </c>
      <c r="B48" s="6" t="s">
        <v>841</v>
      </c>
      <c r="C48" s="5">
        <v>13.1</v>
      </c>
      <c r="D48" s="5">
        <v>50</v>
      </c>
      <c r="E48" s="5">
        <v>10</v>
      </c>
      <c r="F48" s="7">
        <v>0.56138295470493849</v>
      </c>
      <c r="G48" s="6">
        <f>0.011+0.00472</f>
        <v>1.5719999999999998E-2</v>
      </c>
      <c r="H48" s="9">
        <f t="shared" si="0"/>
        <v>0.54566295470493853</v>
      </c>
    </row>
    <row r="49" spans="1:8">
      <c r="A49" s="5">
        <v>47</v>
      </c>
      <c r="B49" s="6" t="s">
        <v>842</v>
      </c>
      <c r="C49" s="5">
        <v>17.23</v>
      </c>
      <c r="D49" s="5">
        <v>50</v>
      </c>
      <c r="E49" s="5">
        <v>10</v>
      </c>
      <c r="F49" s="7">
        <v>0.42682047049533917</v>
      </c>
      <c r="G49" s="6">
        <v>1.4999999999999999E-2</v>
      </c>
      <c r="H49" s="9">
        <f t="shared" si="0"/>
        <v>0.41182047049533915</v>
      </c>
    </row>
    <row r="50" spans="1:8">
      <c r="A50" s="5">
        <v>48</v>
      </c>
      <c r="B50" s="6" t="s">
        <v>843</v>
      </c>
      <c r="C50" s="5">
        <v>3.85</v>
      </c>
      <c r="D50" s="5">
        <v>50</v>
      </c>
      <c r="E50" s="5">
        <v>10</v>
      </c>
      <c r="F50" s="7">
        <v>1.910160183541479</v>
      </c>
      <c r="G50" s="6">
        <v>8.0000000000000002E-3</v>
      </c>
      <c r="H50" s="9">
        <f t="shared" si="0"/>
        <v>1.902160183541479</v>
      </c>
    </row>
    <row r="51" spans="1:8">
      <c r="A51" s="5">
        <v>49</v>
      </c>
      <c r="B51" s="6" t="s">
        <v>844</v>
      </c>
      <c r="C51" s="5">
        <v>1.05</v>
      </c>
      <c r="D51" s="5">
        <v>35</v>
      </c>
      <c r="E51" s="5">
        <v>10</v>
      </c>
      <c r="F51" s="7">
        <v>2.7853000000000003</v>
      </c>
      <c r="G51" s="6">
        <v>1E-3</v>
      </c>
      <c r="H51" s="9">
        <f t="shared" si="0"/>
        <v>2.7843000000000004</v>
      </c>
    </row>
    <row r="52" spans="1:8">
      <c r="A52" s="5">
        <v>50</v>
      </c>
      <c r="B52" s="6" t="s">
        <v>845</v>
      </c>
      <c r="C52" s="5">
        <v>31.25</v>
      </c>
      <c r="D52" s="5">
        <v>50</v>
      </c>
      <c r="E52" s="5">
        <v>10</v>
      </c>
      <c r="F52" s="7">
        <v>0.23533173461231019</v>
      </c>
      <c r="G52" s="6">
        <v>6.0000000000000001E-3</v>
      </c>
      <c r="H52" s="9">
        <f t="shared" si="0"/>
        <v>0.22933173461231018</v>
      </c>
    </row>
    <row r="53" spans="1:8">
      <c r="A53" s="5">
        <v>51</v>
      </c>
      <c r="B53" s="6" t="s">
        <v>846</v>
      </c>
      <c r="C53" s="5">
        <v>3.1</v>
      </c>
      <c r="D53" s="5">
        <v>50</v>
      </c>
      <c r="E53" s="5">
        <v>10</v>
      </c>
      <c r="F53" s="7">
        <v>2.3722957118176433</v>
      </c>
      <c r="G53" s="6">
        <v>0.11700000000000001</v>
      </c>
      <c r="H53" s="9">
        <f t="shared" si="0"/>
        <v>2.2552957118176433</v>
      </c>
    </row>
    <row r="54" spans="1:8">
      <c r="A54" s="5">
        <v>52</v>
      </c>
      <c r="B54" s="6" t="s">
        <v>847</v>
      </c>
      <c r="C54" s="5">
        <v>1.65</v>
      </c>
      <c r="D54" s="5">
        <v>50</v>
      </c>
      <c r="E54" s="5">
        <v>10</v>
      </c>
      <c r="F54" s="7">
        <v>3.3423600000000007</v>
      </c>
      <c r="G54" s="6">
        <v>3.0000000000000001E-3</v>
      </c>
      <c r="H54" s="9">
        <f t="shared" si="0"/>
        <v>3.3393600000000006</v>
      </c>
    </row>
    <row r="55" spans="1:8">
      <c r="A55" s="5">
        <v>53</v>
      </c>
      <c r="B55" s="6" t="s">
        <v>848</v>
      </c>
      <c r="C55" s="5">
        <v>2.2000000000000002</v>
      </c>
      <c r="D55" s="5">
        <v>50</v>
      </c>
      <c r="E55" s="5">
        <v>10</v>
      </c>
      <c r="F55" s="7">
        <v>3.3423600000000007</v>
      </c>
      <c r="G55" s="6">
        <v>0</v>
      </c>
      <c r="H55" s="9">
        <f t="shared" si="0"/>
        <v>3.3423600000000007</v>
      </c>
    </row>
    <row r="56" spans="1:8">
      <c r="A56" s="5">
        <v>54</v>
      </c>
      <c r="B56" s="6" t="s">
        <v>849</v>
      </c>
      <c r="C56" s="5">
        <v>4.45</v>
      </c>
      <c r="D56" s="5">
        <v>35</v>
      </c>
      <c r="E56" s="5">
        <v>10</v>
      </c>
      <c r="F56" s="7">
        <v>1.2815619454110332</v>
      </c>
      <c r="G56" s="6">
        <v>3.4000000000000002E-2</v>
      </c>
      <c r="H56" s="9">
        <f t="shared" si="0"/>
        <v>1.2475619454110332</v>
      </c>
    </row>
    <row r="57" spans="1:8">
      <c r="A57" s="5">
        <v>55</v>
      </c>
      <c r="B57" s="6" t="s">
        <v>850</v>
      </c>
      <c r="C57" s="5">
        <v>0.14000000000000001</v>
      </c>
      <c r="D57" s="5">
        <v>35</v>
      </c>
      <c r="E57" s="5">
        <v>10</v>
      </c>
      <c r="F57" s="7">
        <v>2.7853000000000003</v>
      </c>
      <c r="G57" s="6">
        <v>3.4000000000000002E-2</v>
      </c>
      <c r="H57" s="9">
        <f t="shared" si="0"/>
        <v>2.7513000000000005</v>
      </c>
    </row>
    <row r="58" spans="1:8">
      <c r="A58" s="5">
        <v>56</v>
      </c>
      <c r="B58" s="6" t="s">
        <v>851</v>
      </c>
      <c r="C58" s="5">
        <v>1.73</v>
      </c>
      <c r="D58" s="5">
        <v>50</v>
      </c>
      <c r="E58" s="5">
        <v>10</v>
      </c>
      <c r="F58" s="7">
        <v>3.3423600000000007</v>
      </c>
      <c r="G58" s="6">
        <v>6.7000000000000004E-2</v>
      </c>
      <c r="H58" s="9">
        <f t="shared" si="0"/>
        <v>3.2753600000000005</v>
      </c>
    </row>
    <row r="59" spans="1:8">
      <c r="A59" s="5">
        <v>57</v>
      </c>
      <c r="B59" s="6" t="s">
        <v>852</v>
      </c>
      <c r="C59" s="5">
        <v>1.05</v>
      </c>
      <c r="D59" s="5">
        <v>35</v>
      </c>
      <c r="E59" s="5">
        <v>10</v>
      </c>
      <c r="F59" s="7">
        <v>2.7853000000000003</v>
      </c>
      <c r="G59" s="6">
        <v>0.13500000000000001</v>
      </c>
      <c r="H59" s="9">
        <f t="shared" si="0"/>
        <v>2.6503000000000005</v>
      </c>
    </row>
    <row r="60" spans="1:8">
      <c r="A60" s="5">
        <v>58</v>
      </c>
      <c r="B60" s="6" t="s">
        <v>853</v>
      </c>
      <c r="C60" s="5">
        <v>7.35</v>
      </c>
      <c r="D60" s="5">
        <v>35</v>
      </c>
      <c r="E60" s="5">
        <v>10</v>
      </c>
      <c r="F60" s="7">
        <v>0.77591165402436713</v>
      </c>
      <c r="G60" s="6">
        <v>1.7000000000000001E-2</v>
      </c>
      <c r="H60" s="9">
        <f t="shared" si="0"/>
        <v>0.75891165402436711</v>
      </c>
    </row>
    <row r="61" spans="1:8">
      <c r="A61" s="5">
        <v>59</v>
      </c>
      <c r="B61" s="6" t="s">
        <v>854</v>
      </c>
      <c r="C61" s="5">
        <v>2.5099999999999998</v>
      </c>
      <c r="D61" s="5">
        <v>35</v>
      </c>
      <c r="E61" s="5">
        <v>10</v>
      </c>
      <c r="F61" s="7">
        <v>2.2720918952506373</v>
      </c>
      <c r="G61" s="6">
        <f>0.062+0.0105</f>
        <v>7.2499999999999995E-2</v>
      </c>
      <c r="H61" s="9">
        <f t="shared" si="0"/>
        <v>2.1995918952506375</v>
      </c>
    </row>
    <row r="62" spans="1:8">
      <c r="A62" s="5">
        <v>60</v>
      </c>
      <c r="B62" s="6" t="s">
        <v>855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5.0000000000000001E-3</v>
      </c>
      <c r="H62" s="9">
        <f t="shared" si="0"/>
        <v>1.4957764887050258</v>
      </c>
    </row>
    <row r="63" spans="1:8">
      <c r="A63" s="5">
        <v>61</v>
      </c>
      <c r="B63" s="6" t="s">
        <v>856</v>
      </c>
      <c r="C63" s="5">
        <v>24.24</v>
      </c>
      <c r="D63" s="5">
        <v>50</v>
      </c>
      <c r="E63" s="5">
        <v>10</v>
      </c>
      <c r="F63" s="7">
        <v>0.30338765291397257</v>
      </c>
      <c r="G63" s="6">
        <v>4.0000000000000001E-3</v>
      </c>
      <c r="H63" s="9">
        <f t="shared" si="0"/>
        <v>0.29938765291397257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7"/>
  <sheetViews>
    <sheetView view="pageBreakPreview" topLeftCell="B1" zoomScale="130" zoomScaleNormal="100" zoomScaleSheetLayoutView="130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G14" sqref="G14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857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858</v>
      </c>
      <c r="C3" s="5">
        <v>15.228</v>
      </c>
      <c r="D3" s="5">
        <v>35</v>
      </c>
      <c r="E3" s="5">
        <v>10</v>
      </c>
      <c r="F3" s="7">
        <v>0.37450424593374693</v>
      </c>
      <c r="G3" s="6">
        <v>0.15</v>
      </c>
      <c r="H3" s="9">
        <f>F3-G3</f>
        <v>0.22450424593374693</v>
      </c>
    </row>
    <row r="4" spans="1:9">
      <c r="A4" s="5">
        <v>2</v>
      </c>
      <c r="B4" s="6" t="s">
        <v>859</v>
      </c>
      <c r="C4" s="5">
        <v>2.2000000000000002</v>
      </c>
      <c r="D4" s="5">
        <v>35</v>
      </c>
      <c r="E4" s="5">
        <v>10</v>
      </c>
      <c r="F4" s="7">
        <v>2.592250298672317</v>
      </c>
      <c r="G4" s="6">
        <v>4.2000000000000003E-2</v>
      </c>
      <c r="H4" s="9">
        <f t="shared" ref="H4:H67" si="0">F4-G4</f>
        <v>2.5502502986723172</v>
      </c>
    </row>
    <row r="5" spans="1:9">
      <c r="A5" s="5">
        <v>3</v>
      </c>
      <c r="B5" s="6" t="s">
        <v>860</v>
      </c>
      <c r="C5" s="5">
        <v>17</v>
      </c>
      <c r="D5" s="5">
        <v>35</v>
      </c>
      <c r="E5" s="5">
        <v>10</v>
      </c>
      <c r="F5" s="7">
        <v>0.3354676857105352</v>
      </c>
      <c r="G5" s="6">
        <v>3.3000000000000002E-2</v>
      </c>
      <c r="H5" s="9">
        <f t="shared" si="0"/>
        <v>0.30246768571053517</v>
      </c>
    </row>
    <row r="6" spans="1:9">
      <c r="A6" s="5">
        <v>4</v>
      </c>
      <c r="B6" s="6" t="s">
        <v>861</v>
      </c>
      <c r="C6" s="5">
        <v>7.2130000000000001</v>
      </c>
      <c r="D6" s="5">
        <v>35</v>
      </c>
      <c r="E6" s="5">
        <v>10</v>
      </c>
      <c r="F6" s="7">
        <v>0.7906489196005958</v>
      </c>
      <c r="G6" s="6">
        <v>8.0000000000000002E-3</v>
      </c>
      <c r="H6" s="9">
        <f t="shared" si="0"/>
        <v>0.78264891960059579</v>
      </c>
    </row>
    <row r="7" spans="1:9">
      <c r="A7" s="5">
        <v>5</v>
      </c>
      <c r="B7" s="6" t="s">
        <v>862</v>
      </c>
      <c r="C7" s="5">
        <v>3.2</v>
      </c>
      <c r="D7" s="5">
        <v>35</v>
      </c>
      <c r="E7" s="5">
        <v>10</v>
      </c>
      <c r="F7" s="7">
        <v>1.7821720803372179</v>
      </c>
      <c r="G7" s="10">
        <f>0.018+0.0105+0.004681</f>
        <v>3.3180999999999995E-2</v>
      </c>
      <c r="H7" s="9">
        <f t="shared" si="0"/>
        <v>1.748991080337218</v>
      </c>
    </row>
    <row r="8" spans="1:9">
      <c r="A8" s="5">
        <v>6</v>
      </c>
      <c r="B8" s="6" t="s">
        <v>863</v>
      </c>
      <c r="C8" s="5">
        <v>16.841999999999999</v>
      </c>
      <c r="D8" s="5">
        <v>50</v>
      </c>
      <c r="E8" s="5">
        <v>10</v>
      </c>
      <c r="F8" s="7">
        <v>0.43665340854023837</v>
      </c>
      <c r="G8" s="6">
        <v>0</v>
      </c>
      <c r="H8" s="9">
        <f t="shared" si="0"/>
        <v>0.43665340854023837</v>
      </c>
    </row>
    <row r="9" spans="1:9">
      <c r="A9" s="5">
        <v>7</v>
      </c>
      <c r="B9" s="6" t="s">
        <v>864</v>
      </c>
      <c r="C9" s="5">
        <v>6.98</v>
      </c>
      <c r="D9" s="5">
        <v>35</v>
      </c>
      <c r="E9" s="5">
        <v>10</v>
      </c>
      <c r="F9" s="7">
        <v>0.81704164141534352</v>
      </c>
      <c r="G9" s="6">
        <v>1.7000000000000001E-2</v>
      </c>
      <c r="H9" s="9">
        <f t="shared" si="0"/>
        <v>0.80004164141534351</v>
      </c>
    </row>
    <row r="10" spans="1:9">
      <c r="A10" s="5">
        <v>8</v>
      </c>
      <c r="B10" s="6" t="s">
        <v>865</v>
      </c>
      <c r="C10" s="5">
        <v>4</v>
      </c>
      <c r="D10" s="5">
        <v>35</v>
      </c>
      <c r="E10" s="5">
        <v>10</v>
      </c>
      <c r="F10" s="7">
        <v>1.4257376642697746</v>
      </c>
      <c r="G10" s="6">
        <v>1.7000000000000001E-2</v>
      </c>
      <c r="H10" s="9">
        <f t="shared" si="0"/>
        <v>1.4087376642697746</v>
      </c>
    </row>
    <row r="11" spans="1:9">
      <c r="A11" s="5">
        <v>9</v>
      </c>
      <c r="B11" s="6" t="s">
        <v>866</v>
      </c>
      <c r="C11" s="5">
        <v>5.4</v>
      </c>
      <c r="D11" s="5">
        <v>35</v>
      </c>
      <c r="E11" s="5">
        <v>10</v>
      </c>
      <c r="F11" s="7">
        <v>1.056101973533166</v>
      </c>
      <c r="G11" s="6">
        <f>0.017+0.017</f>
        <v>3.4000000000000002E-2</v>
      </c>
      <c r="H11" s="9">
        <f t="shared" si="0"/>
        <v>1.022101973533166</v>
      </c>
    </row>
    <row r="12" spans="1:9">
      <c r="A12" s="5">
        <v>10</v>
      </c>
      <c r="B12" s="6" t="s">
        <v>867</v>
      </c>
      <c r="C12" s="5">
        <v>35</v>
      </c>
      <c r="D12" s="5">
        <v>35</v>
      </c>
      <c r="E12" s="5">
        <v>10</v>
      </c>
      <c r="F12" s="7">
        <v>0.16294144734511709</v>
      </c>
      <c r="G12" s="6">
        <v>3.4000000000000002E-2</v>
      </c>
      <c r="H12" s="9">
        <f t="shared" si="0"/>
        <v>0.12894144734511709</v>
      </c>
    </row>
    <row r="13" spans="1:9">
      <c r="A13" s="5">
        <v>11</v>
      </c>
      <c r="B13" s="6" t="s">
        <v>868</v>
      </c>
      <c r="C13" s="5">
        <v>1.1000000000000001</v>
      </c>
      <c r="D13" s="5">
        <v>35</v>
      </c>
      <c r="E13" s="5">
        <v>10</v>
      </c>
      <c r="F13" s="7">
        <v>2.7853000000000003</v>
      </c>
      <c r="G13" s="6">
        <v>0.13500000000000001</v>
      </c>
      <c r="H13" s="9">
        <f t="shared" si="0"/>
        <v>2.6503000000000005</v>
      </c>
    </row>
    <row r="14" spans="1:9">
      <c r="A14" s="5">
        <v>12</v>
      </c>
      <c r="B14" s="6" t="s">
        <v>869</v>
      </c>
      <c r="C14" s="5">
        <v>19</v>
      </c>
      <c r="D14" s="5">
        <v>35</v>
      </c>
      <c r="E14" s="5">
        <v>10</v>
      </c>
      <c r="F14" s="7">
        <v>0.30015529774100513</v>
      </c>
      <c r="G14" s="6">
        <f>0.117+0.0105+0.006681+0.00728+0.00728+0.00728</f>
        <v>0.15602100000000002</v>
      </c>
      <c r="H14" s="9">
        <f t="shared" si="0"/>
        <v>0.14413429774100511</v>
      </c>
    </row>
    <row r="15" spans="1:9">
      <c r="A15" s="5">
        <v>13</v>
      </c>
      <c r="B15" s="6" t="s">
        <v>870</v>
      </c>
      <c r="C15" s="5">
        <v>4.0999999999999996</v>
      </c>
      <c r="D15" s="5">
        <v>35</v>
      </c>
      <c r="E15" s="5">
        <v>10</v>
      </c>
      <c r="F15" s="7">
        <v>1.390963574897341</v>
      </c>
      <c r="G15" s="6">
        <v>3.3000000000000002E-2</v>
      </c>
      <c r="H15" s="9">
        <f t="shared" si="0"/>
        <v>1.3579635748973411</v>
      </c>
    </row>
    <row r="16" spans="1:9">
      <c r="A16" s="5">
        <v>14</v>
      </c>
      <c r="B16" s="6" t="s">
        <v>871</v>
      </c>
      <c r="C16" s="5">
        <v>13.5</v>
      </c>
      <c r="D16" s="5">
        <v>35</v>
      </c>
      <c r="E16" s="5">
        <v>10</v>
      </c>
      <c r="F16" s="7">
        <v>0.42244078941326646</v>
      </c>
      <c r="G16" s="6">
        <v>0</v>
      </c>
      <c r="H16" s="9">
        <f t="shared" si="0"/>
        <v>0.42244078941326646</v>
      </c>
    </row>
    <row r="17" spans="1:8">
      <c r="A17" s="5">
        <v>15</v>
      </c>
      <c r="B17" s="6" t="s">
        <v>872</v>
      </c>
      <c r="C17" s="5">
        <v>1.9</v>
      </c>
      <c r="D17" s="5">
        <v>50</v>
      </c>
      <c r="E17" s="5">
        <v>10</v>
      </c>
      <c r="F17" s="7">
        <v>3.3423600000000007</v>
      </c>
      <c r="G17" s="6">
        <v>0.08</v>
      </c>
      <c r="H17" s="9">
        <f t="shared" si="0"/>
        <v>3.2623600000000006</v>
      </c>
    </row>
    <row r="18" spans="1:8">
      <c r="A18" s="5">
        <v>16</v>
      </c>
      <c r="B18" s="6" t="s">
        <v>873</v>
      </c>
      <c r="C18" s="5">
        <v>15.7</v>
      </c>
      <c r="D18" s="5">
        <v>50</v>
      </c>
      <c r="E18" s="5">
        <v>10</v>
      </c>
      <c r="F18" s="7">
        <v>0.46841507685571304</v>
      </c>
      <c r="G18" s="6">
        <v>3.0000000000000001E-3</v>
      </c>
      <c r="H18" s="9">
        <f t="shared" si="0"/>
        <v>0.46541507685571304</v>
      </c>
    </row>
    <row r="19" spans="1:8">
      <c r="A19" s="5">
        <v>17</v>
      </c>
      <c r="B19" s="6" t="s">
        <v>874</v>
      </c>
      <c r="C19" s="5">
        <v>4.4000000000000004</v>
      </c>
      <c r="D19" s="5">
        <v>50</v>
      </c>
      <c r="E19" s="5">
        <v>10</v>
      </c>
      <c r="F19" s="7">
        <v>1.671390160598794</v>
      </c>
      <c r="G19" s="9">
        <f>0.051+0.004681</f>
        <v>5.5680999999999994E-2</v>
      </c>
      <c r="H19" s="9">
        <f t="shared" si="0"/>
        <v>1.6157091605987939</v>
      </c>
    </row>
    <row r="20" spans="1:8">
      <c r="A20" s="5">
        <v>18</v>
      </c>
      <c r="B20" s="6" t="s">
        <v>875</v>
      </c>
      <c r="C20" s="5">
        <v>22.84</v>
      </c>
      <c r="D20" s="5">
        <v>35</v>
      </c>
      <c r="E20" s="5">
        <v>10</v>
      </c>
      <c r="F20" s="7">
        <v>0.24969135976703583</v>
      </c>
      <c r="G20" s="10">
        <f>0.017+0.004681</f>
        <v>2.1681000000000002E-2</v>
      </c>
      <c r="H20" s="9">
        <f t="shared" si="0"/>
        <v>0.22801035976703582</v>
      </c>
    </row>
    <row r="21" spans="1:8">
      <c r="A21" s="5">
        <v>19</v>
      </c>
      <c r="B21" s="6" t="s">
        <v>876</v>
      </c>
      <c r="C21" s="5">
        <v>12.1</v>
      </c>
      <c r="D21" s="5">
        <v>50</v>
      </c>
      <c r="E21" s="5">
        <v>10</v>
      </c>
      <c r="F21" s="7">
        <v>0.6077782402177434</v>
      </c>
      <c r="G21" s="6">
        <v>0.1</v>
      </c>
      <c r="H21" s="9">
        <f t="shared" si="0"/>
        <v>0.50777824021774343</v>
      </c>
    </row>
    <row r="22" spans="1:8">
      <c r="A22" s="5">
        <v>20</v>
      </c>
      <c r="B22" s="6" t="s">
        <v>877</v>
      </c>
      <c r="C22" s="5">
        <v>1</v>
      </c>
      <c r="D22" s="5">
        <v>50</v>
      </c>
      <c r="E22" s="5">
        <v>10</v>
      </c>
      <c r="F22" s="7">
        <v>3.3423600000000007</v>
      </c>
      <c r="G22" s="6">
        <v>3.3000000000000002E-2</v>
      </c>
      <c r="H22" s="9">
        <f t="shared" si="0"/>
        <v>3.3093600000000007</v>
      </c>
    </row>
    <row r="23" spans="1:8">
      <c r="A23" s="5">
        <v>21</v>
      </c>
      <c r="B23" s="6" t="s">
        <v>878</v>
      </c>
      <c r="C23" s="5">
        <v>2.56</v>
      </c>
      <c r="D23" s="5">
        <v>50</v>
      </c>
      <c r="E23" s="5">
        <v>10</v>
      </c>
      <c r="F23" s="7">
        <v>2.8727018385291769</v>
      </c>
      <c r="G23" s="6">
        <v>3.0000000000000001E-3</v>
      </c>
      <c r="H23" s="9">
        <f t="shared" si="0"/>
        <v>2.8697018385291768</v>
      </c>
    </row>
    <row r="24" spans="1:8">
      <c r="A24" s="5">
        <v>22</v>
      </c>
      <c r="B24" s="6" t="s">
        <v>879</v>
      </c>
      <c r="C24" s="5">
        <v>20.58</v>
      </c>
      <c r="D24" s="5">
        <v>35</v>
      </c>
      <c r="E24" s="5">
        <v>10</v>
      </c>
      <c r="F24" s="7">
        <v>0.27711130500870251</v>
      </c>
      <c r="G24" s="14">
        <f>0.017+0.00117+0.004681</f>
        <v>2.2851000000000003E-2</v>
      </c>
      <c r="H24" s="9">
        <f t="shared" si="0"/>
        <v>0.2542603050087025</v>
      </c>
    </row>
    <row r="25" spans="1:8">
      <c r="A25" s="5">
        <v>23</v>
      </c>
      <c r="B25" s="6" t="s">
        <v>880</v>
      </c>
      <c r="C25" s="5">
        <v>2.4</v>
      </c>
      <c r="D25" s="5">
        <v>35</v>
      </c>
      <c r="E25" s="5">
        <v>10</v>
      </c>
      <c r="F25" s="7">
        <v>2.3762294404496247</v>
      </c>
      <c r="G25" s="6">
        <v>0.13400000000000001</v>
      </c>
      <c r="H25" s="9">
        <f t="shared" si="0"/>
        <v>2.2422294404496248</v>
      </c>
    </row>
    <row r="26" spans="1:8">
      <c r="A26" s="5">
        <v>24</v>
      </c>
      <c r="B26" s="6" t="s">
        <v>881</v>
      </c>
      <c r="C26" s="5">
        <v>3.6</v>
      </c>
      <c r="D26" s="5">
        <v>35</v>
      </c>
      <c r="E26" s="5">
        <v>10</v>
      </c>
      <c r="F26" s="7">
        <v>1.5841529602997493</v>
      </c>
      <c r="G26" s="10">
        <f>0.1+0.004681+0.004681</f>
        <v>0.10936200000000001</v>
      </c>
      <c r="H26" s="9">
        <f t="shared" si="0"/>
        <v>1.4747909602997493</v>
      </c>
    </row>
    <row r="27" spans="1:8">
      <c r="A27" s="5">
        <v>25</v>
      </c>
      <c r="B27" s="6" t="s">
        <v>882</v>
      </c>
      <c r="C27" s="5">
        <v>4.3</v>
      </c>
      <c r="D27" s="5">
        <v>35</v>
      </c>
      <c r="E27" s="5">
        <v>10</v>
      </c>
      <c r="F27" s="7">
        <v>1.3262675946695579</v>
      </c>
      <c r="G27" s="6">
        <v>8.0000000000000002E-3</v>
      </c>
      <c r="H27" s="9">
        <f t="shared" si="0"/>
        <v>1.3182675946695579</v>
      </c>
    </row>
    <row r="28" spans="1:8">
      <c r="A28" s="5">
        <v>26</v>
      </c>
      <c r="B28" s="6" t="s">
        <v>883</v>
      </c>
      <c r="C28" s="5">
        <v>0.1</v>
      </c>
      <c r="D28" s="5">
        <v>35</v>
      </c>
      <c r="E28" s="5">
        <v>10</v>
      </c>
      <c r="F28" s="7">
        <v>2.7853000000000003</v>
      </c>
      <c r="G28" s="6">
        <v>0</v>
      </c>
      <c r="H28" s="9">
        <f t="shared" si="0"/>
        <v>2.7853000000000003</v>
      </c>
    </row>
    <row r="29" spans="1:8">
      <c r="A29" s="5">
        <v>27</v>
      </c>
      <c r="B29" s="6" t="s">
        <v>884</v>
      </c>
      <c r="C29" s="5">
        <v>8.0500000000000007</v>
      </c>
      <c r="D29" s="5">
        <v>35</v>
      </c>
      <c r="E29" s="5">
        <v>10</v>
      </c>
      <c r="F29" s="7">
        <v>0.70844107541355239</v>
      </c>
      <c r="G29" s="6">
        <f>0.016+0.011572</f>
        <v>2.7571999999999999E-2</v>
      </c>
      <c r="H29" s="9">
        <f t="shared" si="0"/>
        <v>0.68086907541355235</v>
      </c>
    </row>
    <row r="30" spans="1:8">
      <c r="A30" s="5">
        <v>28</v>
      </c>
      <c r="B30" s="6" t="s">
        <v>885</v>
      </c>
      <c r="C30" s="5">
        <v>3.4</v>
      </c>
      <c r="D30" s="5">
        <v>35</v>
      </c>
      <c r="E30" s="5">
        <v>10</v>
      </c>
      <c r="F30" s="7">
        <v>1.677338428552676</v>
      </c>
      <c r="G30" s="6">
        <v>1.6E-2</v>
      </c>
      <c r="H30" s="9">
        <f t="shared" si="0"/>
        <v>1.661338428552676</v>
      </c>
    </row>
    <row r="31" spans="1:8">
      <c r="A31" s="5">
        <v>29</v>
      </c>
      <c r="B31" s="6" t="s">
        <v>1005</v>
      </c>
      <c r="C31" s="5">
        <v>5.53</v>
      </c>
      <c r="D31" s="5">
        <v>70</v>
      </c>
      <c r="E31" s="5">
        <v>10</v>
      </c>
      <c r="F31" s="7">
        <v>1.8318132601776145</v>
      </c>
      <c r="G31" s="6">
        <v>6.7000000000000004E-2</v>
      </c>
      <c r="H31" s="9">
        <f t="shared" si="0"/>
        <v>1.7648132601776145</v>
      </c>
    </row>
    <row r="32" spans="1:8">
      <c r="A32" s="5">
        <v>30</v>
      </c>
      <c r="B32" s="6" t="s">
        <v>886</v>
      </c>
      <c r="C32" s="5">
        <v>31.5</v>
      </c>
      <c r="D32" s="5">
        <v>70</v>
      </c>
      <c r="E32" s="5">
        <v>10</v>
      </c>
      <c r="F32" s="7">
        <v>0.32158499456451456</v>
      </c>
      <c r="G32" s="6">
        <v>1.7000000000000001E-2</v>
      </c>
      <c r="H32" s="9">
        <f t="shared" si="0"/>
        <v>0.30458499456451454</v>
      </c>
    </row>
    <row r="33" spans="1:8">
      <c r="A33" s="5">
        <v>31</v>
      </c>
      <c r="B33" s="6" t="s">
        <v>1006</v>
      </c>
      <c r="C33" s="5">
        <v>7.5</v>
      </c>
      <c r="D33" s="5">
        <v>35</v>
      </c>
      <c r="E33" s="5">
        <v>10</v>
      </c>
      <c r="F33" s="7">
        <v>0.76039342094387963</v>
      </c>
      <c r="G33" s="6">
        <v>0</v>
      </c>
      <c r="H33" s="9">
        <f t="shared" si="0"/>
        <v>0.76039342094387963</v>
      </c>
    </row>
    <row r="34" spans="1:8">
      <c r="A34" s="5">
        <v>32</v>
      </c>
      <c r="B34" s="6" t="s">
        <v>887</v>
      </c>
      <c r="C34" s="5">
        <v>8.6</v>
      </c>
      <c r="D34" s="5">
        <v>70</v>
      </c>
      <c r="E34" s="5">
        <v>10</v>
      </c>
      <c r="F34" s="7">
        <v>1.1778985266025823</v>
      </c>
      <c r="G34" s="6">
        <v>3.3000000000000002E-2</v>
      </c>
      <c r="H34" s="9">
        <f t="shared" si="0"/>
        <v>1.1448985266025824</v>
      </c>
    </row>
    <row r="35" spans="1:8">
      <c r="A35" s="5">
        <v>33</v>
      </c>
      <c r="B35" s="6" t="s">
        <v>888</v>
      </c>
      <c r="C35" s="5">
        <v>7.17</v>
      </c>
      <c r="D35" s="5">
        <v>70</v>
      </c>
      <c r="E35" s="5">
        <v>10</v>
      </c>
      <c r="F35" s="7">
        <v>1.4128211058273652</v>
      </c>
      <c r="G35" s="6">
        <v>0.26700000000000002</v>
      </c>
      <c r="H35" s="9">
        <f t="shared" si="0"/>
        <v>1.1458211058273653</v>
      </c>
    </row>
    <row r="36" spans="1:8">
      <c r="A36" s="5">
        <v>34</v>
      </c>
      <c r="B36" s="6" t="s">
        <v>889</v>
      </c>
      <c r="C36" s="5">
        <v>18.399999999999999</v>
      </c>
      <c r="D36" s="5">
        <v>50</v>
      </c>
      <c r="E36" s="5">
        <v>10</v>
      </c>
      <c r="F36" s="7">
        <v>0.39968025579536381</v>
      </c>
      <c r="G36" s="6">
        <v>5.3999999999999999E-2</v>
      </c>
      <c r="H36" s="9">
        <f t="shared" si="0"/>
        <v>0.34568025579536382</v>
      </c>
    </row>
    <row r="37" spans="1:8">
      <c r="A37" s="5">
        <v>35</v>
      </c>
      <c r="B37" s="6" t="s">
        <v>890</v>
      </c>
      <c r="C37" s="5">
        <v>2.2999999999999998</v>
      </c>
      <c r="D37" s="5">
        <v>70</v>
      </c>
      <c r="E37" s="5">
        <v>10</v>
      </c>
      <c r="F37" s="7">
        <v>4.2177400000000009</v>
      </c>
      <c r="G37" s="6">
        <v>1.7000000000000001E-2</v>
      </c>
      <c r="H37" s="9">
        <f t="shared" si="0"/>
        <v>4.2007400000000006</v>
      </c>
    </row>
    <row r="38" spans="1:8">
      <c r="A38" s="5">
        <v>36</v>
      </c>
      <c r="B38" s="6" t="s">
        <v>891</v>
      </c>
      <c r="C38" s="5">
        <v>2.5</v>
      </c>
      <c r="D38" s="5">
        <v>50</v>
      </c>
      <c r="E38" s="5">
        <v>10</v>
      </c>
      <c r="F38" s="7">
        <v>2.9416466826538779</v>
      </c>
      <c r="G38" s="6">
        <v>8.4000000000000005E-2</v>
      </c>
      <c r="H38" s="9">
        <f t="shared" si="0"/>
        <v>2.8576466826538778</v>
      </c>
    </row>
    <row r="39" spans="1:8">
      <c r="A39" s="5">
        <v>37</v>
      </c>
      <c r="B39" s="6" t="s">
        <v>892</v>
      </c>
      <c r="C39" s="5">
        <v>2.5</v>
      </c>
      <c r="D39" s="5">
        <v>50</v>
      </c>
      <c r="E39" s="5">
        <v>10</v>
      </c>
      <c r="F39" s="7">
        <v>2.9416466826538779</v>
      </c>
      <c r="G39" s="6">
        <v>3.4000000000000002E-2</v>
      </c>
      <c r="H39" s="9">
        <f t="shared" si="0"/>
        <v>2.907646682653878</v>
      </c>
    </row>
    <row r="40" spans="1:8">
      <c r="A40" s="5">
        <v>38</v>
      </c>
      <c r="B40" s="6" t="s">
        <v>893</v>
      </c>
      <c r="C40" s="5">
        <v>9.4499999999999993</v>
      </c>
      <c r="D40" s="5">
        <v>35</v>
      </c>
      <c r="E40" s="5">
        <v>10</v>
      </c>
      <c r="F40" s="7">
        <v>0.6034868420189522</v>
      </c>
      <c r="G40" s="6">
        <f>0.255+0.0105</f>
        <v>0.26550000000000001</v>
      </c>
      <c r="H40" s="9">
        <f t="shared" si="0"/>
        <v>0.33798684201895218</v>
      </c>
    </row>
    <row r="41" spans="1:8">
      <c r="A41" s="5">
        <v>39</v>
      </c>
      <c r="B41" s="6" t="s">
        <v>894</v>
      </c>
      <c r="C41" s="5">
        <v>3.92</v>
      </c>
      <c r="D41" s="5">
        <v>35</v>
      </c>
      <c r="E41" s="5">
        <v>10</v>
      </c>
      <c r="F41" s="7">
        <v>1.4548343512956885</v>
      </c>
      <c r="G41" s="6">
        <v>8.2000000000000003E-2</v>
      </c>
      <c r="H41" s="9">
        <f t="shared" si="0"/>
        <v>1.3728343512956884</v>
      </c>
    </row>
    <row r="42" spans="1:8">
      <c r="A42" s="5">
        <v>40</v>
      </c>
      <c r="B42" s="6" t="s">
        <v>895</v>
      </c>
      <c r="C42" s="5">
        <v>3.07</v>
      </c>
      <c r="D42" s="5">
        <v>35</v>
      </c>
      <c r="E42" s="5">
        <v>10</v>
      </c>
      <c r="F42" s="7">
        <v>1.8576386505143645</v>
      </c>
      <c r="G42" s="6">
        <v>8.2000000000000003E-2</v>
      </c>
      <c r="H42" s="9">
        <f t="shared" si="0"/>
        <v>1.7756386505143644</v>
      </c>
    </row>
    <row r="43" spans="1:8">
      <c r="A43" s="5">
        <v>41</v>
      </c>
      <c r="B43" s="6" t="s">
        <v>896</v>
      </c>
      <c r="C43" s="5">
        <v>8.1</v>
      </c>
      <c r="D43" s="5">
        <v>35</v>
      </c>
      <c r="E43" s="5">
        <v>10</v>
      </c>
      <c r="F43" s="7">
        <v>0.70406798235544421</v>
      </c>
      <c r="G43" s="6">
        <v>9.8000000000000004E-2</v>
      </c>
      <c r="H43" s="9">
        <f t="shared" si="0"/>
        <v>0.60606798235544423</v>
      </c>
    </row>
    <row r="44" spans="1:8">
      <c r="A44" s="5">
        <v>42</v>
      </c>
      <c r="B44" s="6" t="s">
        <v>897</v>
      </c>
      <c r="C44" s="5">
        <v>22.96</v>
      </c>
      <c r="D44" s="5">
        <v>50</v>
      </c>
      <c r="E44" s="5">
        <v>10</v>
      </c>
      <c r="F44" s="7">
        <v>0.3203012502889675</v>
      </c>
      <c r="G44" s="6">
        <v>1.7000000000000001E-2</v>
      </c>
      <c r="H44" s="9">
        <f t="shared" si="0"/>
        <v>0.30330125028896748</v>
      </c>
    </row>
    <row r="45" spans="1:8">
      <c r="A45" s="5">
        <v>43</v>
      </c>
      <c r="B45" s="6" t="s">
        <v>898</v>
      </c>
      <c r="C45" s="5">
        <v>6.56</v>
      </c>
      <c r="D45" s="5">
        <v>50</v>
      </c>
      <c r="E45" s="5">
        <v>10</v>
      </c>
      <c r="F45" s="7">
        <v>1.1210543760113862</v>
      </c>
      <c r="G45" s="6">
        <v>8.5000000000000006E-2</v>
      </c>
      <c r="H45" s="9">
        <f t="shared" si="0"/>
        <v>1.0360543760113863</v>
      </c>
    </row>
    <row r="46" spans="1:8">
      <c r="A46" s="5">
        <v>44</v>
      </c>
      <c r="B46" s="6" t="s">
        <v>899</v>
      </c>
      <c r="C46" s="5">
        <v>15.57</v>
      </c>
      <c r="D46" s="5">
        <v>50</v>
      </c>
      <c r="E46" s="5">
        <v>10</v>
      </c>
      <c r="F46" s="7">
        <v>0.47232605694506696</v>
      </c>
      <c r="G46" s="6">
        <v>1.7000000000000001E-2</v>
      </c>
      <c r="H46" s="9">
        <f t="shared" si="0"/>
        <v>0.45532605694506695</v>
      </c>
    </row>
    <row r="47" spans="1:8">
      <c r="A47" s="5">
        <v>45</v>
      </c>
      <c r="B47" s="6" t="s">
        <v>900</v>
      </c>
      <c r="C47" s="5">
        <v>16.5</v>
      </c>
      <c r="D47" s="5">
        <v>70</v>
      </c>
      <c r="E47" s="5">
        <v>10</v>
      </c>
      <c r="F47" s="7">
        <v>0.61393498962316428</v>
      </c>
      <c r="G47" s="6">
        <v>1E-3</v>
      </c>
      <c r="H47" s="9">
        <f t="shared" si="0"/>
        <v>0.61293498962316428</v>
      </c>
    </row>
    <row r="48" spans="1:8">
      <c r="A48" s="5">
        <v>46</v>
      </c>
      <c r="B48" s="6" t="s">
        <v>901</v>
      </c>
      <c r="C48" s="5">
        <v>2.7</v>
      </c>
      <c r="D48" s="5">
        <v>50</v>
      </c>
      <c r="E48" s="5">
        <v>10</v>
      </c>
      <c r="F48" s="7">
        <v>2.7237469283832194</v>
      </c>
      <c r="G48" s="6">
        <v>1.7000000000000001E-2</v>
      </c>
      <c r="H48" s="9">
        <f t="shared" si="0"/>
        <v>2.7067469283832195</v>
      </c>
    </row>
    <row r="49" spans="1:8">
      <c r="A49" s="5">
        <v>47</v>
      </c>
      <c r="B49" s="6" t="s">
        <v>902</v>
      </c>
      <c r="C49" s="5">
        <v>4.4000000000000004</v>
      </c>
      <c r="D49" s="5">
        <v>35</v>
      </c>
      <c r="E49" s="5">
        <v>10</v>
      </c>
      <c r="F49" s="7">
        <v>1.2961251493361585</v>
      </c>
      <c r="G49" s="6">
        <f>0.084+0.00691</f>
        <v>9.0910000000000005E-2</v>
      </c>
      <c r="H49" s="9">
        <f t="shared" si="0"/>
        <v>1.2052151493361585</v>
      </c>
    </row>
    <row r="50" spans="1:8">
      <c r="A50" s="5">
        <v>48</v>
      </c>
      <c r="B50" s="6" t="s">
        <v>903</v>
      </c>
      <c r="C50" s="5">
        <v>5.9</v>
      </c>
      <c r="D50" s="5">
        <v>70</v>
      </c>
      <c r="E50" s="5">
        <v>10</v>
      </c>
      <c r="F50" s="7">
        <v>1.7169368353868146</v>
      </c>
      <c r="G50" s="10">
        <f>0.685+0.0099+0.00649+0.00852+0.00002</f>
        <v>0.70993000000000006</v>
      </c>
      <c r="H50" s="9">
        <f t="shared" si="0"/>
        <v>1.0070068353868145</v>
      </c>
    </row>
    <row r="51" spans="1:8">
      <c r="A51" s="5">
        <v>49</v>
      </c>
      <c r="B51" s="6" t="s">
        <v>904</v>
      </c>
      <c r="C51" s="5">
        <v>5.56</v>
      </c>
      <c r="D51" s="5">
        <v>50</v>
      </c>
      <c r="E51" s="5">
        <v>10</v>
      </c>
      <c r="F51" s="7">
        <v>1.3226828609055206</v>
      </c>
      <c r="G51" s="13">
        <f>0.468+0.01328</f>
        <v>0.48128000000000004</v>
      </c>
      <c r="H51" s="9">
        <f t="shared" si="0"/>
        <v>0.84140286090552052</v>
      </c>
    </row>
    <row r="52" spans="1:8">
      <c r="A52" s="5">
        <v>50</v>
      </c>
      <c r="B52" s="6" t="s">
        <v>905</v>
      </c>
      <c r="C52" s="5">
        <v>5.3</v>
      </c>
      <c r="D52" s="5">
        <v>70</v>
      </c>
      <c r="E52" s="5">
        <v>10</v>
      </c>
      <c r="F52" s="7">
        <v>1.9113070431664541</v>
      </c>
      <c r="G52" s="6">
        <v>1.7000000000000001E-2</v>
      </c>
      <c r="H52" s="9">
        <f t="shared" si="0"/>
        <v>1.8943070431664542</v>
      </c>
    </row>
    <row r="53" spans="1:8">
      <c r="A53" s="5">
        <v>51</v>
      </c>
      <c r="B53" s="6" t="s">
        <v>906</v>
      </c>
      <c r="C53" s="5">
        <v>5.5</v>
      </c>
      <c r="D53" s="5">
        <v>50</v>
      </c>
      <c r="E53" s="5">
        <v>10</v>
      </c>
      <c r="F53" s="7">
        <v>1.3371121284790353</v>
      </c>
      <c r="G53" s="6">
        <f>0.167+0.00002</f>
        <v>0.16702</v>
      </c>
      <c r="H53" s="9">
        <f t="shared" si="0"/>
        <v>1.1700921284790353</v>
      </c>
    </row>
    <row r="54" spans="1:8">
      <c r="A54" s="5">
        <v>52</v>
      </c>
      <c r="B54" s="6" t="s">
        <v>907</v>
      </c>
      <c r="C54" s="5">
        <v>1.6</v>
      </c>
      <c r="D54" s="5">
        <v>50</v>
      </c>
      <c r="E54" s="5">
        <v>10</v>
      </c>
      <c r="F54" s="7">
        <v>3.3423600000000007</v>
      </c>
      <c r="G54" s="6">
        <v>0.16700000000000001</v>
      </c>
      <c r="H54" s="9">
        <f t="shared" si="0"/>
        <v>3.1753600000000008</v>
      </c>
    </row>
    <row r="55" spans="1:8">
      <c r="A55" s="5">
        <v>53</v>
      </c>
      <c r="B55" s="6" t="s">
        <v>908</v>
      </c>
      <c r="C55" s="5">
        <v>8</v>
      </c>
      <c r="D55" s="5">
        <v>70</v>
      </c>
      <c r="E55" s="5">
        <v>10</v>
      </c>
      <c r="F55" s="7">
        <v>1.2662409160977759</v>
      </c>
      <c r="G55" s="6">
        <v>1.7000000000000001E-2</v>
      </c>
      <c r="H55" s="9">
        <f t="shared" si="0"/>
        <v>1.249240916097776</v>
      </c>
    </row>
    <row r="56" spans="1:8">
      <c r="A56" s="5">
        <v>54</v>
      </c>
      <c r="B56" s="6" t="s">
        <v>909</v>
      </c>
      <c r="C56" s="5">
        <v>3</v>
      </c>
      <c r="D56" s="5">
        <v>25</v>
      </c>
      <c r="E56" s="5">
        <v>10</v>
      </c>
      <c r="F56" s="7">
        <v>1.2910106368050296</v>
      </c>
      <c r="G56" s="6">
        <v>3.0000000000000001E-3</v>
      </c>
      <c r="H56" s="9">
        <f t="shared" si="0"/>
        <v>1.2880106368050297</v>
      </c>
    </row>
    <row r="57" spans="1:8">
      <c r="A57" s="5">
        <v>55</v>
      </c>
      <c r="B57" s="6" t="s">
        <v>910</v>
      </c>
      <c r="C57" s="5">
        <v>26.85</v>
      </c>
      <c r="D57" s="5">
        <v>25</v>
      </c>
      <c r="E57" s="5">
        <v>10</v>
      </c>
      <c r="F57" s="7">
        <v>0.14424699852570164</v>
      </c>
      <c r="G57" s="6">
        <v>2E-3</v>
      </c>
      <c r="H57" s="9">
        <f t="shared" si="0"/>
        <v>0.14224699852570163</v>
      </c>
    </row>
    <row r="58" spans="1:8">
      <c r="A58" s="5">
        <v>56</v>
      </c>
      <c r="B58" s="6" t="s">
        <v>911</v>
      </c>
      <c r="C58" s="5">
        <v>19.2</v>
      </c>
      <c r="D58" s="5">
        <v>25</v>
      </c>
      <c r="E58" s="5">
        <v>10</v>
      </c>
      <c r="F58" s="7">
        <v>0.20172041200078589</v>
      </c>
      <c r="G58" s="6">
        <v>8.0000000000000002E-3</v>
      </c>
      <c r="H58" s="9">
        <f t="shared" si="0"/>
        <v>0.19372041200078588</v>
      </c>
    </row>
    <row r="59" spans="1:8">
      <c r="A59" s="5">
        <v>57</v>
      </c>
      <c r="B59" s="6" t="s">
        <v>912</v>
      </c>
      <c r="C59" s="5">
        <v>1.86</v>
      </c>
      <c r="D59" s="5">
        <v>35</v>
      </c>
      <c r="E59" s="5">
        <v>10</v>
      </c>
      <c r="F59" s="7">
        <v>2.7853000000000003</v>
      </c>
      <c r="G59" s="6">
        <v>8.0000000000000002E-3</v>
      </c>
      <c r="H59" s="9">
        <f t="shared" si="0"/>
        <v>2.7773000000000003</v>
      </c>
    </row>
    <row r="60" spans="1:8">
      <c r="A60" s="5">
        <v>58</v>
      </c>
      <c r="B60" s="6" t="s">
        <v>913</v>
      </c>
      <c r="C60" s="5">
        <v>13.28</v>
      </c>
      <c r="D60" s="5">
        <v>50</v>
      </c>
      <c r="E60" s="5">
        <v>10</v>
      </c>
      <c r="F60" s="7">
        <v>0.55377384839116683</v>
      </c>
      <c r="G60" s="6">
        <v>3.4000000000000002E-2</v>
      </c>
      <c r="H60" s="9">
        <f t="shared" si="0"/>
        <v>0.5197738483911668</v>
      </c>
    </row>
    <row r="61" spans="1:8">
      <c r="A61" s="5">
        <v>59</v>
      </c>
      <c r="B61" s="6" t="s">
        <v>914</v>
      </c>
      <c r="C61" s="5">
        <v>4</v>
      </c>
      <c r="D61" s="5">
        <v>25</v>
      </c>
      <c r="E61" s="5">
        <v>10</v>
      </c>
      <c r="F61" s="7">
        <v>0.9682579776037723</v>
      </c>
      <c r="G61" s="6">
        <v>3.4000000000000002E-2</v>
      </c>
      <c r="H61" s="9">
        <f t="shared" si="0"/>
        <v>0.93425797760377227</v>
      </c>
    </row>
    <row r="62" spans="1:8">
      <c r="A62" s="5">
        <v>60</v>
      </c>
      <c r="B62" s="6" t="s">
        <v>915</v>
      </c>
      <c r="C62" s="5">
        <v>3.3</v>
      </c>
      <c r="D62" s="5">
        <v>35</v>
      </c>
      <c r="E62" s="5">
        <v>10</v>
      </c>
      <c r="F62" s="7">
        <v>1.728166865781545</v>
      </c>
      <c r="G62" s="10">
        <f>0.034+0.004681</f>
        <v>3.8681E-2</v>
      </c>
      <c r="H62" s="9">
        <f t="shared" si="0"/>
        <v>1.689485865781545</v>
      </c>
    </row>
    <row r="63" spans="1:8">
      <c r="A63" s="5">
        <v>61</v>
      </c>
      <c r="B63" s="6" t="s">
        <v>916</v>
      </c>
      <c r="C63" s="5">
        <v>24</v>
      </c>
      <c r="D63" s="5">
        <v>50</v>
      </c>
      <c r="E63" s="5">
        <v>10</v>
      </c>
      <c r="F63" s="7">
        <v>0.30642152944311224</v>
      </c>
      <c r="G63" s="6">
        <v>7.0000000000000007E-2</v>
      </c>
      <c r="H63" s="9">
        <f t="shared" si="0"/>
        <v>0.23642152944311223</v>
      </c>
    </row>
    <row r="64" spans="1:8">
      <c r="A64" s="5">
        <v>62</v>
      </c>
      <c r="B64" s="6" t="s">
        <v>917</v>
      </c>
      <c r="C64" s="5">
        <v>11.36</v>
      </c>
      <c r="D64" s="5">
        <v>50</v>
      </c>
      <c r="E64" s="5">
        <v>10</v>
      </c>
      <c r="F64" s="7">
        <v>0.64736942840094136</v>
      </c>
      <c r="G64" s="6">
        <v>2E-3</v>
      </c>
      <c r="H64" s="9">
        <f t="shared" si="0"/>
        <v>0.64536942840094136</v>
      </c>
    </row>
    <row r="65" spans="1:8">
      <c r="A65" s="5">
        <v>63</v>
      </c>
      <c r="B65" s="6" t="s">
        <v>918</v>
      </c>
      <c r="C65" s="5">
        <v>1.95</v>
      </c>
      <c r="D65" s="5">
        <v>50</v>
      </c>
      <c r="E65" s="5">
        <v>10</v>
      </c>
      <c r="F65" s="7">
        <v>3.3423600000000007</v>
      </c>
      <c r="G65" s="10">
        <f>0.064+0.0105+0.004681</f>
        <v>7.9181000000000001E-2</v>
      </c>
      <c r="H65" s="9">
        <f t="shared" si="0"/>
        <v>3.2631790000000005</v>
      </c>
    </row>
    <row r="66" spans="1:8">
      <c r="A66" s="5">
        <v>64</v>
      </c>
      <c r="B66" s="6" t="s">
        <v>919</v>
      </c>
      <c r="C66" s="5">
        <v>1.1499999999999999</v>
      </c>
      <c r="D66" s="5">
        <v>50</v>
      </c>
      <c r="E66" s="5">
        <v>10</v>
      </c>
      <c r="F66" s="7">
        <v>3.3423600000000007</v>
      </c>
      <c r="G66" s="6">
        <v>6.4000000000000001E-2</v>
      </c>
      <c r="H66" s="9">
        <f t="shared" si="0"/>
        <v>3.2783600000000006</v>
      </c>
    </row>
    <row r="67" spans="1:8">
      <c r="A67" s="5">
        <v>65</v>
      </c>
      <c r="B67" s="6" t="s">
        <v>920</v>
      </c>
      <c r="C67" s="5">
        <v>2.5</v>
      </c>
      <c r="D67" s="5">
        <v>50</v>
      </c>
      <c r="E67" s="5">
        <v>10</v>
      </c>
      <c r="F67" s="7">
        <v>2.9416466826538779</v>
      </c>
      <c r="G67" s="6">
        <v>5.2999999999999999E-2</v>
      </c>
      <c r="H67" s="9">
        <f t="shared" si="0"/>
        <v>2.8886466826538779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81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E32" sqref="E32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857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921</v>
      </c>
      <c r="C3" s="5">
        <v>7.56</v>
      </c>
      <c r="D3" s="5">
        <v>50</v>
      </c>
      <c r="E3" s="5">
        <v>10</v>
      </c>
      <c r="F3" s="7">
        <v>0.97276676013686436</v>
      </c>
      <c r="G3" s="9">
        <f>0.166+0.00568+0.0096</f>
        <v>0.18128</v>
      </c>
      <c r="H3" s="9">
        <f>F3-G3</f>
        <v>0.79148676013686436</v>
      </c>
    </row>
    <row r="4" spans="1:9">
      <c r="A4" s="5">
        <v>2</v>
      </c>
      <c r="B4" s="6" t="s">
        <v>922</v>
      </c>
      <c r="C4" s="5">
        <v>6.99</v>
      </c>
      <c r="D4" s="5">
        <v>50</v>
      </c>
      <c r="E4" s="5">
        <v>10</v>
      </c>
      <c r="F4" s="7">
        <v>1.0520910882166943</v>
      </c>
      <c r="G4" s="6">
        <f>0.199+0.008+0.0096</f>
        <v>0.21660000000000001</v>
      </c>
      <c r="H4" s="9">
        <f t="shared" ref="H4:H67" si="0">F4-G4</f>
        <v>0.83549108821669427</v>
      </c>
    </row>
    <row r="5" spans="1:9">
      <c r="A5" s="5">
        <v>3</v>
      </c>
      <c r="B5" s="6" t="s">
        <v>923</v>
      </c>
      <c r="C5" s="5">
        <v>6.7</v>
      </c>
      <c r="D5" s="5">
        <v>50</v>
      </c>
      <c r="E5" s="5">
        <v>10</v>
      </c>
      <c r="F5" s="7">
        <v>1.0976293591992081</v>
      </c>
      <c r="G5" s="6">
        <v>3.3000000000000002E-2</v>
      </c>
      <c r="H5" s="9">
        <f t="shared" si="0"/>
        <v>1.0646293591992082</v>
      </c>
    </row>
    <row r="6" spans="1:9">
      <c r="A6" s="5">
        <v>4</v>
      </c>
      <c r="B6" s="6" t="s">
        <v>924</v>
      </c>
      <c r="C6" s="5">
        <v>4.8</v>
      </c>
      <c r="D6" s="5">
        <v>70</v>
      </c>
      <c r="E6" s="5">
        <v>10</v>
      </c>
      <c r="F6" s="7">
        <v>2.1104015268296266</v>
      </c>
      <c r="G6" s="9">
        <f>0.331+0.0031+0.008</f>
        <v>0.34210000000000002</v>
      </c>
      <c r="H6" s="9">
        <f t="shared" si="0"/>
        <v>1.7683015268296265</v>
      </c>
    </row>
    <row r="7" spans="1:9">
      <c r="A7" s="5">
        <v>5</v>
      </c>
      <c r="B7" s="6" t="s">
        <v>925</v>
      </c>
      <c r="C7" s="5">
        <v>14.19</v>
      </c>
      <c r="D7" s="5">
        <v>50</v>
      </c>
      <c r="E7" s="5">
        <v>10</v>
      </c>
      <c r="F7" s="7">
        <v>0.51826051491435476</v>
      </c>
      <c r="G7" s="6">
        <f>0.033+0.0325</f>
        <v>6.5500000000000003E-2</v>
      </c>
      <c r="H7" s="9">
        <f t="shared" si="0"/>
        <v>0.45276051491435476</v>
      </c>
    </row>
    <row r="8" spans="1:9">
      <c r="A8" s="5">
        <v>6</v>
      </c>
      <c r="B8" s="6" t="s">
        <v>926</v>
      </c>
      <c r="C8" s="5">
        <v>13.18</v>
      </c>
      <c r="D8" s="5">
        <v>70</v>
      </c>
      <c r="E8" s="5">
        <v>10</v>
      </c>
      <c r="F8" s="7">
        <v>0.7685832571154938</v>
      </c>
      <c r="G8" s="6">
        <v>3.3000000000000002E-2</v>
      </c>
      <c r="H8" s="9">
        <f t="shared" si="0"/>
        <v>0.73558325711549377</v>
      </c>
    </row>
    <row r="9" spans="1:9">
      <c r="A9" s="5">
        <v>7</v>
      </c>
      <c r="B9" s="6" t="s">
        <v>927</v>
      </c>
      <c r="C9" s="5">
        <v>3.08</v>
      </c>
      <c r="D9" s="5">
        <v>35</v>
      </c>
      <c r="E9" s="5">
        <v>10</v>
      </c>
      <c r="F9" s="7">
        <v>1.8516073561945123</v>
      </c>
      <c r="G9" s="6">
        <v>1.7000000000000001E-2</v>
      </c>
      <c r="H9" s="9">
        <f t="shared" si="0"/>
        <v>1.8346073561945124</v>
      </c>
    </row>
    <row r="10" spans="1:9">
      <c r="A10" s="5">
        <v>8</v>
      </c>
      <c r="B10" s="6" t="s">
        <v>928</v>
      </c>
      <c r="C10" s="5">
        <v>4.7</v>
      </c>
      <c r="D10" s="5">
        <v>70</v>
      </c>
      <c r="E10" s="5">
        <v>10</v>
      </c>
      <c r="F10" s="7">
        <v>2.1553036869749378</v>
      </c>
      <c r="G10" s="6">
        <f>0.244+0.03519</f>
        <v>0.27918999999999999</v>
      </c>
      <c r="H10" s="9">
        <f t="shared" si="0"/>
        <v>1.8761136869749377</v>
      </c>
    </row>
    <row r="11" spans="1:9">
      <c r="A11" s="5">
        <v>9</v>
      </c>
      <c r="B11" s="6" t="s">
        <v>929</v>
      </c>
      <c r="C11" s="5">
        <v>3.2</v>
      </c>
      <c r="D11" s="5">
        <v>70</v>
      </c>
      <c r="E11" s="5">
        <v>10</v>
      </c>
      <c r="F11" s="7">
        <v>3.1656022902444403</v>
      </c>
      <c r="G11" s="6">
        <v>8.1000000000000003E-2</v>
      </c>
      <c r="H11" s="9">
        <f t="shared" si="0"/>
        <v>3.0846022902444403</v>
      </c>
    </row>
    <row r="12" spans="1:9">
      <c r="A12" s="5">
        <v>10</v>
      </c>
      <c r="B12" s="6" t="s">
        <v>930</v>
      </c>
      <c r="C12" s="5">
        <v>4.9800000000000004</v>
      </c>
      <c r="D12" s="5">
        <v>70</v>
      </c>
      <c r="E12" s="5">
        <v>10</v>
      </c>
      <c r="F12" s="7">
        <v>2.0341219535707245</v>
      </c>
      <c r="G12" s="6">
        <v>0.16200000000000001</v>
      </c>
      <c r="H12" s="9">
        <f t="shared" si="0"/>
        <v>1.8721219535707245</v>
      </c>
    </row>
    <row r="13" spans="1:9">
      <c r="A13" s="5">
        <v>11</v>
      </c>
      <c r="B13" s="6" t="s">
        <v>931</v>
      </c>
      <c r="C13" s="5">
        <v>13.09</v>
      </c>
      <c r="D13" s="5">
        <v>70</v>
      </c>
      <c r="E13" s="5">
        <v>10</v>
      </c>
      <c r="F13" s="7">
        <v>0.77386763397877834</v>
      </c>
      <c r="G13" s="6">
        <f>0.162+0.0086+0.00404</f>
        <v>0.17463999999999999</v>
      </c>
      <c r="H13" s="9">
        <f t="shared" si="0"/>
        <v>0.59922763397877832</v>
      </c>
    </row>
    <row r="14" spans="1:9">
      <c r="A14" s="5">
        <v>12</v>
      </c>
      <c r="B14" s="6" t="s">
        <v>932</v>
      </c>
      <c r="C14" s="5">
        <v>9.2200000000000006</v>
      </c>
      <c r="D14" s="5">
        <v>35</v>
      </c>
      <c r="E14" s="5">
        <v>10</v>
      </c>
      <c r="F14" s="7">
        <v>0.61854128601725578</v>
      </c>
      <c r="G14" s="6">
        <f>0.033+0.0088+0.0025</f>
        <v>4.4300000000000006E-2</v>
      </c>
      <c r="H14" s="9">
        <f t="shared" si="0"/>
        <v>0.57424128601725577</v>
      </c>
    </row>
    <row r="15" spans="1:9">
      <c r="A15" s="5">
        <v>13</v>
      </c>
      <c r="B15" s="6" t="s">
        <v>933</v>
      </c>
      <c r="C15" s="5">
        <v>6.87</v>
      </c>
      <c r="D15" s="5">
        <v>50</v>
      </c>
      <c r="E15" s="5">
        <v>10</v>
      </c>
      <c r="F15" s="7">
        <v>1.0704682251287763</v>
      </c>
      <c r="G15" s="6">
        <f>0.033+0.0027+0.0337+0.00065+0.0007+0.0096</f>
        <v>8.0350000000000005E-2</v>
      </c>
      <c r="H15" s="9">
        <f t="shared" si="0"/>
        <v>0.99011822512877623</v>
      </c>
    </row>
    <row r="16" spans="1:9">
      <c r="A16" s="5">
        <v>14</v>
      </c>
      <c r="B16" s="6" t="s">
        <v>934</v>
      </c>
      <c r="C16" s="5">
        <v>4.97</v>
      </c>
      <c r="D16" s="5">
        <v>35</v>
      </c>
      <c r="E16" s="5">
        <v>10</v>
      </c>
      <c r="F16" s="7">
        <v>1.1474749813036416</v>
      </c>
      <c r="G16" s="6">
        <v>8.3000000000000004E-2</v>
      </c>
      <c r="H16" s="9">
        <f t="shared" si="0"/>
        <v>1.0644749813036416</v>
      </c>
    </row>
    <row r="17" spans="1:8">
      <c r="A17" s="5">
        <v>15</v>
      </c>
      <c r="B17" s="6" t="s">
        <v>935</v>
      </c>
      <c r="C17" s="5">
        <v>6.02</v>
      </c>
      <c r="D17" s="5">
        <v>50</v>
      </c>
      <c r="E17" s="5">
        <v>10</v>
      </c>
      <c r="F17" s="7">
        <v>1.2216140708695507</v>
      </c>
      <c r="G17" s="6">
        <v>3.3000000000000002E-2</v>
      </c>
      <c r="H17" s="9">
        <f t="shared" si="0"/>
        <v>1.1886140708695507</v>
      </c>
    </row>
    <row r="18" spans="1:8">
      <c r="A18" s="5">
        <v>16</v>
      </c>
      <c r="B18" s="6" t="s">
        <v>936</v>
      </c>
      <c r="C18" s="5">
        <v>7.2</v>
      </c>
      <c r="D18" s="5">
        <v>50</v>
      </c>
      <c r="E18" s="5">
        <v>10</v>
      </c>
      <c r="F18" s="7">
        <v>1.0214050981437075</v>
      </c>
      <c r="G18" s="6">
        <v>0.215</v>
      </c>
      <c r="H18" s="9">
        <f t="shared" si="0"/>
        <v>0.80640509814370753</v>
      </c>
    </row>
    <row r="19" spans="1:8">
      <c r="A19" s="5">
        <v>17</v>
      </c>
      <c r="B19" s="6" t="s">
        <v>937</v>
      </c>
      <c r="C19" s="5">
        <v>2.94</v>
      </c>
      <c r="D19" s="5">
        <v>35</v>
      </c>
      <c r="E19" s="5">
        <v>10</v>
      </c>
      <c r="F19" s="7">
        <v>1.9397791350609177</v>
      </c>
      <c r="G19" s="6">
        <v>3.3000000000000002E-2</v>
      </c>
      <c r="H19" s="9">
        <f t="shared" si="0"/>
        <v>1.9067791350609178</v>
      </c>
    </row>
    <row r="20" spans="1:8">
      <c r="A20" s="5">
        <v>18</v>
      </c>
      <c r="B20" s="6" t="s">
        <v>938</v>
      </c>
      <c r="C20" s="5">
        <v>9.7149999999999999</v>
      </c>
      <c r="D20" s="5">
        <v>35</v>
      </c>
      <c r="E20" s="5">
        <v>10</v>
      </c>
      <c r="F20" s="7">
        <v>0.58702528636943885</v>
      </c>
      <c r="G20" s="6">
        <v>6.6000000000000003E-2</v>
      </c>
      <c r="H20" s="9">
        <f t="shared" si="0"/>
        <v>0.5210252863694389</v>
      </c>
    </row>
    <row r="21" spans="1:8">
      <c r="A21" s="5">
        <v>19</v>
      </c>
      <c r="B21" s="6" t="s">
        <v>939</v>
      </c>
      <c r="C21" s="5">
        <v>10.73</v>
      </c>
      <c r="D21" s="5">
        <v>25</v>
      </c>
      <c r="E21" s="5">
        <v>10</v>
      </c>
      <c r="F21" s="7">
        <v>0.36095357972181624</v>
      </c>
      <c r="G21" s="6">
        <f>0.143+0.00575</f>
        <v>0.14874999999999999</v>
      </c>
      <c r="H21" s="9">
        <f t="shared" si="0"/>
        <v>0.21220357972181625</v>
      </c>
    </row>
    <row r="22" spans="1:8">
      <c r="A22" s="5">
        <v>20</v>
      </c>
      <c r="B22" s="6" t="s">
        <v>940</v>
      </c>
      <c r="C22" s="5">
        <v>0.86499999999999999</v>
      </c>
      <c r="D22" s="5">
        <v>50</v>
      </c>
      <c r="E22" s="5">
        <v>10</v>
      </c>
      <c r="F22" s="7">
        <v>3.3423600000000007</v>
      </c>
      <c r="G22" s="6">
        <v>8.0000000000000002E-3</v>
      </c>
      <c r="H22" s="9">
        <f t="shared" si="0"/>
        <v>3.3343600000000007</v>
      </c>
    </row>
    <row r="23" spans="1:8">
      <c r="A23" s="5">
        <v>21</v>
      </c>
      <c r="B23" s="6" t="s">
        <v>941</v>
      </c>
      <c r="C23" s="5">
        <v>5.12</v>
      </c>
      <c r="D23" s="5">
        <v>25</v>
      </c>
      <c r="E23" s="5">
        <v>10</v>
      </c>
      <c r="F23" s="7">
        <v>0.75645154500294687</v>
      </c>
      <c r="G23" s="6">
        <f>0.02+0.0006</f>
        <v>2.06E-2</v>
      </c>
      <c r="H23" s="9">
        <f t="shared" si="0"/>
        <v>0.73585154500294692</v>
      </c>
    </row>
    <row r="24" spans="1:8">
      <c r="A24" s="5">
        <v>22</v>
      </c>
      <c r="B24" s="6" t="s">
        <v>942</v>
      </c>
      <c r="C24" s="5">
        <v>1.23</v>
      </c>
      <c r="D24" s="5">
        <v>50</v>
      </c>
      <c r="E24" s="5">
        <v>10</v>
      </c>
      <c r="F24" s="7">
        <v>3.3423600000000007</v>
      </c>
      <c r="G24" s="6">
        <v>0.13500000000000001</v>
      </c>
      <c r="H24" s="9">
        <f t="shared" si="0"/>
        <v>3.2073600000000004</v>
      </c>
    </row>
    <row r="25" spans="1:8">
      <c r="A25" s="5">
        <v>23</v>
      </c>
      <c r="B25" s="6" t="s">
        <v>943</v>
      </c>
      <c r="C25" s="5">
        <v>5.33</v>
      </c>
      <c r="D25" s="5">
        <v>25</v>
      </c>
      <c r="E25" s="5">
        <v>10</v>
      </c>
      <c r="F25" s="7">
        <v>0.72664763797656451</v>
      </c>
      <c r="G25" s="6">
        <f>0.143+0.0096+0.0006</f>
        <v>0.15319999999999998</v>
      </c>
      <c r="H25" s="9">
        <f t="shared" si="0"/>
        <v>0.57344763797656451</v>
      </c>
    </row>
    <row r="26" spans="1:8">
      <c r="A26" s="5">
        <v>24</v>
      </c>
      <c r="B26" s="6" t="s">
        <v>944</v>
      </c>
      <c r="C26" s="5">
        <v>0.79</v>
      </c>
      <c r="D26" s="5">
        <v>70</v>
      </c>
      <c r="E26" s="5">
        <v>10</v>
      </c>
      <c r="F26" s="7">
        <v>4.2177400000000009</v>
      </c>
      <c r="G26" s="6">
        <v>2.5999999999999999E-2</v>
      </c>
      <c r="H26" s="9">
        <f t="shared" si="0"/>
        <v>4.1917400000000011</v>
      </c>
    </row>
    <row r="27" spans="1:8">
      <c r="A27" s="5">
        <v>25</v>
      </c>
      <c r="B27" s="6" t="s">
        <v>945</v>
      </c>
      <c r="C27" s="5">
        <v>2.02</v>
      </c>
      <c r="D27" s="5">
        <v>25</v>
      </c>
      <c r="E27" s="5">
        <v>10</v>
      </c>
      <c r="F27" s="7">
        <v>1.9173425299084597</v>
      </c>
      <c r="G27" s="6">
        <v>0</v>
      </c>
      <c r="H27" s="9">
        <f t="shared" si="0"/>
        <v>1.9173425299084597</v>
      </c>
    </row>
    <row r="28" spans="1:8">
      <c r="A28" s="5">
        <v>26</v>
      </c>
      <c r="B28" s="6" t="s">
        <v>946</v>
      </c>
      <c r="C28" s="5">
        <v>1.95</v>
      </c>
      <c r="D28" s="5">
        <v>35</v>
      </c>
      <c r="E28" s="5">
        <v>10</v>
      </c>
      <c r="F28" s="7">
        <v>2.7853000000000003</v>
      </c>
      <c r="G28" s="6">
        <v>0</v>
      </c>
      <c r="H28" s="9">
        <f t="shared" si="0"/>
        <v>2.7853000000000003</v>
      </c>
    </row>
    <row r="29" spans="1:8">
      <c r="A29" s="5">
        <v>27</v>
      </c>
      <c r="B29" s="6" t="s">
        <v>947</v>
      </c>
      <c r="C29" s="5">
        <v>4.54</v>
      </c>
      <c r="D29" s="5">
        <v>35</v>
      </c>
      <c r="E29" s="5">
        <v>10</v>
      </c>
      <c r="F29" s="7">
        <v>1.2561565323962771</v>
      </c>
      <c r="G29" s="6">
        <f>0.104+0.0095+0.00575</f>
        <v>0.11924999999999999</v>
      </c>
      <c r="H29" s="9">
        <f t="shared" si="0"/>
        <v>1.136906532396277</v>
      </c>
    </row>
    <row r="30" spans="1:8">
      <c r="A30" s="5">
        <v>28</v>
      </c>
      <c r="B30" s="6" t="s">
        <v>948</v>
      </c>
      <c r="C30" s="5">
        <v>29.364999999999998</v>
      </c>
      <c r="D30" s="5">
        <v>70</v>
      </c>
      <c r="E30" s="5">
        <v>10</v>
      </c>
      <c r="F30" s="7">
        <v>0.34496602515859731</v>
      </c>
      <c r="G30" s="6">
        <f>0.078+0.0004+0.005586+0.0004+0.00575</f>
        <v>9.0135999999999994E-2</v>
      </c>
      <c r="H30" s="9">
        <f t="shared" si="0"/>
        <v>0.25483002515859732</v>
      </c>
    </row>
    <row r="31" spans="1:8">
      <c r="A31" s="5">
        <v>29</v>
      </c>
      <c r="B31" s="6" t="s">
        <v>949</v>
      </c>
      <c r="C31" s="5">
        <v>3.1</v>
      </c>
      <c r="D31" s="5">
        <v>35</v>
      </c>
      <c r="E31" s="5">
        <v>10</v>
      </c>
      <c r="F31" s="7">
        <v>1.8396615022835801</v>
      </c>
      <c r="G31" s="6">
        <v>3.4000000000000002E-2</v>
      </c>
      <c r="H31" s="9">
        <f t="shared" si="0"/>
        <v>1.80566150228358</v>
      </c>
    </row>
    <row r="32" spans="1:8">
      <c r="A32" s="5">
        <v>30</v>
      </c>
      <c r="B32" s="6" t="s">
        <v>950</v>
      </c>
      <c r="C32" s="5">
        <v>19.579999999999998</v>
      </c>
      <c r="D32" s="5">
        <v>35</v>
      </c>
      <c r="E32" s="5">
        <v>10</v>
      </c>
      <c r="F32" s="7">
        <v>0.29126407850250757</v>
      </c>
      <c r="G32" s="6">
        <f>0.051+0.00575</f>
        <v>5.6749999999999995E-2</v>
      </c>
      <c r="H32" s="9">
        <f t="shared" si="0"/>
        <v>0.23451407850250758</v>
      </c>
    </row>
    <row r="33" spans="1:8">
      <c r="A33" s="5">
        <v>31</v>
      </c>
      <c r="B33" s="6" t="s">
        <v>951</v>
      </c>
      <c r="C33" s="5">
        <v>4.32</v>
      </c>
      <c r="D33" s="5">
        <v>35</v>
      </c>
      <c r="E33" s="5">
        <v>10</v>
      </c>
      <c r="F33" s="7">
        <v>1.3201274669164578</v>
      </c>
      <c r="G33" s="6">
        <f>0.102+0.0096+0.0105+0.0096+0.00575+0.00941</f>
        <v>0.14685999999999999</v>
      </c>
      <c r="H33" s="9">
        <f t="shared" si="0"/>
        <v>1.1732674669164578</v>
      </c>
    </row>
    <row r="34" spans="1:8">
      <c r="A34" s="5">
        <v>32</v>
      </c>
      <c r="B34" s="6" t="s">
        <v>952</v>
      </c>
      <c r="C34" s="5">
        <v>11.6</v>
      </c>
      <c r="D34" s="5">
        <v>35</v>
      </c>
      <c r="E34" s="5">
        <v>10</v>
      </c>
      <c r="F34" s="7">
        <v>0.49163367733440505</v>
      </c>
      <c r="G34" s="6">
        <v>0.371</v>
      </c>
      <c r="H34" s="9">
        <f t="shared" si="0"/>
        <v>0.12063367733440505</v>
      </c>
    </row>
    <row r="35" spans="1:8">
      <c r="A35" s="5">
        <v>33</v>
      </c>
      <c r="B35" s="6" t="s">
        <v>953</v>
      </c>
      <c r="C35" s="5">
        <v>0.79500000000000004</v>
      </c>
      <c r="D35" s="5">
        <v>35</v>
      </c>
      <c r="E35" s="5">
        <v>10</v>
      </c>
      <c r="F35" s="7">
        <v>2.7853000000000003</v>
      </c>
      <c r="G35" s="6">
        <v>2E-3</v>
      </c>
      <c r="H35" s="9">
        <f t="shared" si="0"/>
        <v>2.7833000000000006</v>
      </c>
    </row>
    <row r="36" spans="1:8">
      <c r="A36" s="5">
        <v>34</v>
      </c>
      <c r="B36" s="6" t="s">
        <v>954</v>
      </c>
      <c r="C36" s="5">
        <v>1.0900000000000001</v>
      </c>
      <c r="D36" s="5">
        <v>35</v>
      </c>
      <c r="E36" s="5">
        <v>10</v>
      </c>
      <c r="F36" s="7">
        <v>2.7853000000000003</v>
      </c>
      <c r="G36" s="6">
        <v>4.0000000000000001E-3</v>
      </c>
      <c r="H36" s="9">
        <f t="shared" si="0"/>
        <v>2.7813000000000003</v>
      </c>
    </row>
    <row r="37" spans="1:8">
      <c r="A37" s="5">
        <v>35</v>
      </c>
      <c r="B37" s="6" t="s">
        <v>955</v>
      </c>
      <c r="C37" s="5">
        <v>22.6</v>
      </c>
      <c r="D37" s="5">
        <v>35</v>
      </c>
      <c r="E37" s="5">
        <v>10</v>
      </c>
      <c r="F37" s="7">
        <v>0.25234294942827862</v>
      </c>
      <c r="G37" s="6">
        <v>2.8000000000000001E-2</v>
      </c>
      <c r="H37" s="9">
        <f t="shared" si="0"/>
        <v>0.22434294942827862</v>
      </c>
    </row>
    <row r="38" spans="1:8">
      <c r="A38" s="5">
        <v>36</v>
      </c>
      <c r="B38" s="6" t="s">
        <v>956</v>
      </c>
      <c r="C38" s="5">
        <v>4.3899999999999997</v>
      </c>
      <c r="D38" s="5">
        <v>35</v>
      </c>
      <c r="E38" s="5">
        <v>10</v>
      </c>
      <c r="F38" s="7">
        <v>1.2990775984234846</v>
      </c>
      <c r="G38" s="6">
        <v>0.08</v>
      </c>
      <c r="H38" s="9">
        <f t="shared" si="0"/>
        <v>1.2190775984234845</v>
      </c>
    </row>
    <row r="39" spans="1:8">
      <c r="A39" s="5">
        <v>37</v>
      </c>
      <c r="B39" s="6" t="s">
        <v>957</v>
      </c>
      <c r="C39" s="5">
        <v>7.42</v>
      </c>
      <c r="D39" s="5">
        <v>35</v>
      </c>
      <c r="E39" s="5">
        <v>10</v>
      </c>
      <c r="F39" s="7">
        <v>0.76859173275998627</v>
      </c>
      <c r="G39" s="6">
        <f>0.017+0.00575</f>
        <v>2.2749999999999999E-2</v>
      </c>
      <c r="H39" s="9">
        <f t="shared" si="0"/>
        <v>0.74584173275998622</v>
      </c>
    </row>
    <row r="40" spans="1:8">
      <c r="A40" s="5">
        <v>38</v>
      </c>
      <c r="B40" s="6" t="s">
        <v>958</v>
      </c>
      <c r="C40" s="5">
        <v>3.38</v>
      </c>
      <c r="D40" s="5">
        <v>35</v>
      </c>
      <c r="E40" s="5">
        <v>10</v>
      </c>
      <c r="F40" s="7">
        <v>1.6872635080115677</v>
      </c>
      <c r="G40" s="6">
        <v>5.1999999999999998E-2</v>
      </c>
      <c r="H40" s="9">
        <f t="shared" si="0"/>
        <v>1.6352635080115676</v>
      </c>
    </row>
    <row r="41" spans="1:8">
      <c r="A41" s="5">
        <v>39</v>
      </c>
      <c r="B41" s="6" t="s">
        <v>959</v>
      </c>
      <c r="C41" s="5">
        <v>2.02</v>
      </c>
      <c r="D41" s="5">
        <v>35</v>
      </c>
      <c r="E41" s="5">
        <v>10</v>
      </c>
      <c r="F41" s="7">
        <v>2.7853000000000003</v>
      </c>
      <c r="G41" s="6">
        <v>0.155</v>
      </c>
      <c r="H41" s="9">
        <f t="shared" si="0"/>
        <v>2.6303000000000005</v>
      </c>
    </row>
    <row r="42" spans="1:8">
      <c r="A42" s="5">
        <v>40</v>
      </c>
      <c r="B42" s="6" t="s">
        <v>960</v>
      </c>
      <c r="C42" s="5">
        <v>4.4000000000000004</v>
      </c>
      <c r="D42" s="5">
        <v>35</v>
      </c>
      <c r="E42" s="5">
        <v>10</v>
      </c>
      <c r="F42" s="7">
        <v>1.2961251493361585</v>
      </c>
      <c r="G42" s="6">
        <v>0.02</v>
      </c>
      <c r="H42" s="9">
        <f t="shared" si="0"/>
        <v>1.2761251493361585</v>
      </c>
    </row>
    <row r="43" spans="1:8">
      <c r="A43" s="5">
        <v>41</v>
      </c>
      <c r="B43" s="6" t="s">
        <v>961</v>
      </c>
      <c r="C43" s="5">
        <v>8.7850000000000001</v>
      </c>
      <c r="D43" s="5">
        <v>35</v>
      </c>
      <c r="E43" s="5">
        <v>10</v>
      </c>
      <c r="F43" s="7">
        <v>0.64916911292875334</v>
      </c>
      <c r="G43" s="6">
        <v>0.19500000000000001</v>
      </c>
      <c r="H43" s="9">
        <f t="shared" si="0"/>
        <v>0.45416911292875334</v>
      </c>
    </row>
    <row r="44" spans="1:8">
      <c r="A44" s="5">
        <v>42</v>
      </c>
      <c r="B44" s="6" t="s">
        <v>962</v>
      </c>
      <c r="C44" s="5">
        <v>24.36</v>
      </c>
      <c r="D44" s="5">
        <v>35</v>
      </c>
      <c r="E44" s="5">
        <v>10</v>
      </c>
      <c r="F44" s="7">
        <v>0.23411127492114522</v>
      </c>
      <c r="G44" s="6">
        <v>5.0000000000000001E-3</v>
      </c>
      <c r="H44" s="9">
        <f t="shared" si="0"/>
        <v>0.22911127492114522</v>
      </c>
    </row>
    <row r="45" spans="1:8">
      <c r="A45" s="5">
        <v>43</v>
      </c>
      <c r="B45" s="6" t="s">
        <v>963</v>
      </c>
      <c r="C45" s="5">
        <v>12.67</v>
      </c>
      <c r="D45" s="5">
        <v>35</v>
      </c>
      <c r="E45" s="5">
        <v>10</v>
      </c>
      <c r="F45" s="7">
        <v>0.45011449542850035</v>
      </c>
      <c r="G45" s="6">
        <f>0.017+0.00575</f>
        <v>2.2749999999999999E-2</v>
      </c>
      <c r="H45" s="9">
        <f t="shared" si="0"/>
        <v>0.42736449542850036</v>
      </c>
    </row>
    <row r="46" spans="1:8">
      <c r="A46" s="5">
        <v>44</v>
      </c>
      <c r="B46" s="6" t="s">
        <v>964</v>
      </c>
      <c r="C46" s="5">
        <v>2.59</v>
      </c>
      <c r="D46" s="5">
        <v>35</v>
      </c>
      <c r="E46" s="5">
        <v>10</v>
      </c>
      <c r="F46" s="7">
        <v>2.2019114506096904</v>
      </c>
      <c r="G46" s="6">
        <v>1.7000000000000001E-2</v>
      </c>
      <c r="H46" s="9">
        <f t="shared" si="0"/>
        <v>2.1849114506096905</v>
      </c>
    </row>
    <row r="47" spans="1:8">
      <c r="A47" s="5">
        <v>45</v>
      </c>
      <c r="B47" s="6" t="s">
        <v>965</v>
      </c>
      <c r="C47" s="5">
        <v>0.94</v>
      </c>
      <c r="D47" s="5">
        <v>35</v>
      </c>
      <c r="E47" s="5">
        <v>10</v>
      </c>
      <c r="F47" s="7">
        <v>2.7853000000000003</v>
      </c>
      <c r="G47" s="6">
        <f>0.01+0.00575</f>
        <v>1.575E-2</v>
      </c>
      <c r="H47" s="9">
        <f t="shared" si="0"/>
        <v>2.7695500000000002</v>
      </c>
    </row>
    <row r="48" spans="1:8">
      <c r="A48" s="5">
        <v>46</v>
      </c>
      <c r="B48" s="6" t="s">
        <v>966</v>
      </c>
      <c r="C48" s="5">
        <v>17.78</v>
      </c>
      <c r="D48" s="5">
        <v>35</v>
      </c>
      <c r="E48" s="5">
        <v>10</v>
      </c>
      <c r="F48" s="7">
        <v>0.32075088060062423</v>
      </c>
      <c r="G48" s="6">
        <v>6.0000000000000001E-3</v>
      </c>
      <c r="H48" s="9">
        <f t="shared" si="0"/>
        <v>0.31475088060062423</v>
      </c>
    </row>
    <row r="49" spans="1:8">
      <c r="A49" s="5">
        <v>47</v>
      </c>
      <c r="B49" s="6" t="s">
        <v>967</v>
      </c>
      <c r="C49" s="5">
        <v>2.4</v>
      </c>
      <c r="D49" s="5">
        <v>35</v>
      </c>
      <c r="E49" s="5">
        <v>10</v>
      </c>
      <c r="F49" s="7">
        <v>2.3762294404496247</v>
      </c>
      <c r="G49" s="6">
        <v>1.7000000000000001E-2</v>
      </c>
      <c r="H49" s="9">
        <f t="shared" si="0"/>
        <v>2.3592294404496248</v>
      </c>
    </row>
    <row r="50" spans="1:8">
      <c r="A50" s="5">
        <v>48</v>
      </c>
      <c r="B50" s="6" t="s">
        <v>968</v>
      </c>
      <c r="C50" s="5">
        <v>20.23</v>
      </c>
      <c r="D50" s="5">
        <v>35</v>
      </c>
      <c r="E50" s="5">
        <v>10</v>
      </c>
      <c r="F50" s="7">
        <v>0.28190561824414717</v>
      </c>
      <c r="G50" s="6">
        <f>0.033+0.0085</f>
        <v>4.1500000000000002E-2</v>
      </c>
      <c r="H50" s="9">
        <f t="shared" si="0"/>
        <v>0.24040561824414716</v>
      </c>
    </row>
    <row r="51" spans="1:8">
      <c r="A51" s="5">
        <v>49</v>
      </c>
      <c r="B51" s="6" t="s">
        <v>969</v>
      </c>
      <c r="C51" s="5">
        <v>2.09</v>
      </c>
      <c r="D51" s="5">
        <v>35</v>
      </c>
      <c r="E51" s="5">
        <v>10</v>
      </c>
      <c r="F51" s="7">
        <v>2.7286845249182288</v>
      </c>
      <c r="G51" s="6">
        <v>3.3000000000000002E-2</v>
      </c>
      <c r="H51" s="9">
        <f t="shared" si="0"/>
        <v>2.6956845249182289</v>
      </c>
    </row>
    <row r="52" spans="1:8">
      <c r="A52" s="5">
        <v>50</v>
      </c>
      <c r="B52" s="6" t="s">
        <v>970</v>
      </c>
      <c r="C52" s="5">
        <v>4.03</v>
      </c>
      <c r="D52" s="5">
        <v>35</v>
      </c>
      <c r="E52" s="5">
        <v>10</v>
      </c>
      <c r="F52" s="7">
        <v>1.4151242325258309</v>
      </c>
      <c r="G52" s="6">
        <v>0.11600000000000001</v>
      </c>
      <c r="H52" s="9">
        <f t="shared" si="0"/>
        <v>1.2991242325258308</v>
      </c>
    </row>
    <row r="53" spans="1:8">
      <c r="A53" s="5">
        <v>51</v>
      </c>
      <c r="B53" s="6" t="s">
        <v>971</v>
      </c>
      <c r="C53" s="5">
        <v>9.1</v>
      </c>
      <c r="D53" s="5">
        <v>35</v>
      </c>
      <c r="E53" s="5">
        <v>10</v>
      </c>
      <c r="F53" s="7">
        <v>0.62669787440429647</v>
      </c>
      <c r="G53" s="6">
        <v>1.7000000000000001E-2</v>
      </c>
      <c r="H53" s="9">
        <f t="shared" si="0"/>
        <v>0.60969787440429646</v>
      </c>
    </row>
    <row r="54" spans="1:8">
      <c r="A54" s="5">
        <v>52</v>
      </c>
      <c r="B54" s="6" t="s">
        <v>972</v>
      </c>
      <c r="C54" s="5">
        <v>2.95</v>
      </c>
      <c r="D54" s="5">
        <v>35</v>
      </c>
      <c r="E54" s="5">
        <v>10</v>
      </c>
      <c r="F54" s="7">
        <v>1.9332036125691858</v>
      </c>
      <c r="G54" s="6">
        <v>0.05</v>
      </c>
      <c r="H54" s="9">
        <f t="shared" si="0"/>
        <v>1.8832036125691858</v>
      </c>
    </row>
    <row r="55" spans="1:8">
      <c r="A55" s="5">
        <v>53</v>
      </c>
      <c r="B55" s="6" t="s">
        <v>973</v>
      </c>
      <c r="C55" s="5">
        <v>18.059999999999999</v>
      </c>
      <c r="D55" s="5">
        <v>50</v>
      </c>
      <c r="E55" s="5">
        <v>10</v>
      </c>
      <c r="F55" s="7">
        <v>0.40720469028985012</v>
      </c>
      <c r="G55" s="6">
        <v>6.6000000000000003E-2</v>
      </c>
      <c r="H55" s="9">
        <f t="shared" si="0"/>
        <v>0.34120469028985012</v>
      </c>
    </row>
    <row r="56" spans="1:8">
      <c r="A56" s="5">
        <v>54</v>
      </c>
      <c r="B56" s="6" t="s">
        <v>974</v>
      </c>
      <c r="C56" s="5">
        <v>8.86</v>
      </c>
      <c r="D56" s="5">
        <v>70</v>
      </c>
      <c r="E56" s="5">
        <v>10</v>
      </c>
      <c r="F56" s="7">
        <v>1.1433326556187593</v>
      </c>
      <c r="G56" s="6">
        <f>0.341+0.0096+0.0046+0.0092</f>
        <v>0.3644</v>
      </c>
      <c r="H56" s="9">
        <f t="shared" si="0"/>
        <v>0.77893265561875924</v>
      </c>
    </row>
    <row r="57" spans="1:8">
      <c r="A57" s="5">
        <v>55</v>
      </c>
      <c r="B57" s="6" t="s">
        <v>975</v>
      </c>
      <c r="C57" s="5">
        <v>23.27</v>
      </c>
      <c r="D57" s="5">
        <v>35</v>
      </c>
      <c r="E57" s="5">
        <v>10</v>
      </c>
      <c r="F57" s="7">
        <v>0.24507738105195953</v>
      </c>
      <c r="G57" s="14">
        <f>0.068+0.003255+0.00575+0.0012+0.00036</f>
        <v>7.856500000000001E-2</v>
      </c>
      <c r="H57" s="9">
        <f t="shared" si="0"/>
        <v>0.16651238105195953</v>
      </c>
    </row>
    <row r="58" spans="1:8">
      <c r="A58" s="5">
        <v>56</v>
      </c>
      <c r="B58" s="6" t="s">
        <v>976</v>
      </c>
      <c r="C58" s="5">
        <v>6.4</v>
      </c>
      <c r="D58" s="5">
        <v>35</v>
      </c>
      <c r="E58" s="5">
        <v>10</v>
      </c>
      <c r="F58" s="7">
        <v>0.89108604016860893</v>
      </c>
      <c r="G58" s="10">
        <f>0.221+0.02344+0.0096+0.0093+0.0085+0.0085</f>
        <v>0.28033999999999998</v>
      </c>
      <c r="H58" s="9">
        <f t="shared" si="0"/>
        <v>0.61074604016860889</v>
      </c>
    </row>
    <row r="59" spans="1:8">
      <c r="A59" s="5">
        <v>57</v>
      </c>
      <c r="B59" s="6" t="s">
        <v>977</v>
      </c>
      <c r="C59" s="5">
        <v>8.64</v>
      </c>
      <c r="D59" s="5">
        <v>50</v>
      </c>
      <c r="E59" s="5">
        <v>10</v>
      </c>
      <c r="F59" s="7">
        <v>0.85117091511975618</v>
      </c>
      <c r="G59" s="6">
        <f>0.221+0.0096</f>
        <v>0.2306</v>
      </c>
      <c r="H59" s="9">
        <f t="shared" si="0"/>
        <v>0.62057091511975615</v>
      </c>
    </row>
    <row r="60" spans="1:8">
      <c r="A60" s="5">
        <v>58</v>
      </c>
      <c r="B60" s="6" t="s">
        <v>978</v>
      </c>
      <c r="C60" s="5">
        <v>24.12</v>
      </c>
      <c r="D60" s="5">
        <v>35</v>
      </c>
      <c r="E60" s="5">
        <v>10</v>
      </c>
      <c r="F60" s="7">
        <v>0.23644074034324616</v>
      </c>
      <c r="G60" s="6">
        <v>6.8000000000000005E-2</v>
      </c>
      <c r="H60" s="9">
        <f t="shared" si="0"/>
        <v>0.16844074034324616</v>
      </c>
    </row>
    <row r="61" spans="1:8">
      <c r="A61" s="5">
        <v>59</v>
      </c>
      <c r="B61" s="6" t="s">
        <v>979</v>
      </c>
      <c r="C61" s="5">
        <v>12.6</v>
      </c>
      <c r="D61" s="5">
        <v>35</v>
      </c>
      <c r="E61" s="5">
        <v>10</v>
      </c>
      <c r="F61" s="7">
        <v>0.45261513151421418</v>
      </c>
      <c r="G61" s="6">
        <f>0.012+0.00575+0.0006+0.0006</f>
        <v>1.8950000000000002E-2</v>
      </c>
      <c r="H61" s="9">
        <f t="shared" si="0"/>
        <v>0.43366513151421415</v>
      </c>
    </row>
    <row r="62" spans="1:8">
      <c r="A62" s="5">
        <v>60</v>
      </c>
      <c r="B62" s="6" t="s">
        <v>980</v>
      </c>
      <c r="C62" s="5">
        <v>3.5</v>
      </c>
      <c r="D62" s="5">
        <v>35</v>
      </c>
      <c r="E62" s="5">
        <v>10</v>
      </c>
      <c r="F62" s="7">
        <v>1.6294144734511709</v>
      </c>
      <c r="G62" s="6">
        <f>0.034+0.00575</f>
        <v>3.9750000000000001E-2</v>
      </c>
      <c r="H62" s="9">
        <f t="shared" si="0"/>
        <v>1.5896644734511709</v>
      </c>
    </row>
    <row r="63" spans="1:8">
      <c r="A63" s="5">
        <v>61</v>
      </c>
      <c r="B63" s="6" t="s">
        <v>981</v>
      </c>
      <c r="C63" s="5">
        <v>2.15</v>
      </c>
      <c r="D63" s="5">
        <v>35</v>
      </c>
      <c r="E63" s="5">
        <v>10</v>
      </c>
      <c r="F63" s="7">
        <v>2.6525351893391158</v>
      </c>
      <c r="G63" s="6">
        <f>0.051+0.0096</f>
        <v>6.0599999999999994E-2</v>
      </c>
      <c r="H63" s="9">
        <f t="shared" si="0"/>
        <v>2.5919351893391158</v>
      </c>
    </row>
    <row r="64" spans="1:8">
      <c r="A64" s="5">
        <v>62</v>
      </c>
      <c r="B64" s="6" t="s">
        <v>982</v>
      </c>
      <c r="C64" s="5">
        <v>2.66</v>
      </c>
      <c r="D64" s="5">
        <v>35</v>
      </c>
      <c r="E64" s="5">
        <v>10</v>
      </c>
      <c r="F64" s="7">
        <v>2.1439664124357516</v>
      </c>
      <c r="G64" s="6">
        <v>4.2000000000000003E-2</v>
      </c>
      <c r="H64" s="9">
        <f t="shared" si="0"/>
        <v>2.1019664124357518</v>
      </c>
    </row>
    <row r="65" spans="1:8">
      <c r="A65" s="5">
        <v>63</v>
      </c>
      <c r="B65" s="6" t="s">
        <v>983</v>
      </c>
      <c r="C65" s="5">
        <v>20.52</v>
      </c>
      <c r="D65" s="5">
        <v>35</v>
      </c>
      <c r="E65" s="5">
        <v>10</v>
      </c>
      <c r="F65" s="7">
        <v>0.27792157198241224</v>
      </c>
      <c r="G65" s="6">
        <v>8.0000000000000002E-3</v>
      </c>
      <c r="H65" s="9">
        <f t="shared" si="0"/>
        <v>0.26992157198241223</v>
      </c>
    </row>
    <row r="66" spans="1:8">
      <c r="A66" s="5">
        <v>64</v>
      </c>
      <c r="B66" s="6" t="s">
        <v>984</v>
      </c>
      <c r="C66" s="5">
        <v>33.4</v>
      </c>
      <c r="D66" s="5">
        <v>35</v>
      </c>
      <c r="E66" s="5">
        <v>10</v>
      </c>
      <c r="F66" s="7">
        <v>0.17074702566105082</v>
      </c>
      <c r="G66" s="6">
        <f>0.009+0.0096</f>
        <v>1.8599999999999998E-2</v>
      </c>
      <c r="H66" s="9">
        <f t="shared" si="0"/>
        <v>0.15214702566105082</v>
      </c>
    </row>
    <row r="67" spans="1:8">
      <c r="A67" s="5">
        <v>65</v>
      </c>
      <c r="B67" s="6" t="s">
        <v>985</v>
      </c>
      <c r="C67" s="5">
        <v>4.5199999999999996</v>
      </c>
      <c r="D67" s="5">
        <v>35</v>
      </c>
      <c r="E67" s="5">
        <v>10</v>
      </c>
      <c r="F67" s="7">
        <v>1.2617147471413936</v>
      </c>
      <c r="G67" s="6">
        <v>8.9999999999999993E-3</v>
      </c>
      <c r="H67" s="9">
        <f t="shared" si="0"/>
        <v>1.2527147471413937</v>
      </c>
    </row>
    <row r="68" spans="1:8">
      <c r="A68" s="5">
        <v>66</v>
      </c>
      <c r="B68" s="6" t="s">
        <v>986</v>
      </c>
      <c r="C68" s="5">
        <v>4.5999999999999996</v>
      </c>
      <c r="D68" s="5">
        <v>35</v>
      </c>
      <c r="E68" s="5">
        <v>10</v>
      </c>
      <c r="F68" s="7">
        <v>1.2397718819737169</v>
      </c>
      <c r="G68" s="6">
        <f>0.05+0.0105+0.00575</f>
        <v>6.6250000000000003E-2</v>
      </c>
      <c r="H68" s="9">
        <f t="shared" ref="H68:H81" si="1">F68-G68</f>
        <v>1.173521881973717</v>
      </c>
    </row>
    <row r="69" spans="1:8">
      <c r="A69" s="5">
        <v>67</v>
      </c>
      <c r="B69" s="6" t="s">
        <v>987</v>
      </c>
      <c r="C69" s="5">
        <v>0.79</v>
      </c>
      <c r="D69" s="5">
        <v>25</v>
      </c>
      <c r="E69" s="5">
        <v>10</v>
      </c>
      <c r="F69" s="7">
        <v>2.0690800000000005</v>
      </c>
      <c r="G69" s="6">
        <v>1.7000000000000001E-2</v>
      </c>
      <c r="H69" s="9">
        <f t="shared" si="1"/>
        <v>2.0520800000000006</v>
      </c>
    </row>
    <row r="70" spans="1:8">
      <c r="A70" s="5">
        <v>68</v>
      </c>
      <c r="B70" s="6" t="s">
        <v>988</v>
      </c>
      <c r="C70" s="5">
        <v>6.05</v>
      </c>
      <c r="D70" s="5">
        <v>35</v>
      </c>
      <c r="E70" s="5">
        <v>10</v>
      </c>
      <c r="F70" s="7">
        <v>0.942636472244479</v>
      </c>
      <c r="G70" s="6">
        <v>3.3000000000000002E-2</v>
      </c>
      <c r="H70" s="9">
        <f t="shared" si="1"/>
        <v>0.90963647224447897</v>
      </c>
    </row>
    <row r="71" spans="1:8">
      <c r="A71" s="5">
        <v>69</v>
      </c>
      <c r="B71" s="6" t="s">
        <v>989</v>
      </c>
      <c r="C71" s="5">
        <v>30.17</v>
      </c>
      <c r="D71" s="5">
        <v>35</v>
      </c>
      <c r="E71" s="5">
        <v>10</v>
      </c>
      <c r="F71" s="7">
        <v>0.18902720109642351</v>
      </c>
      <c r="G71" s="6">
        <f>0.017+0.0187</f>
        <v>3.5700000000000003E-2</v>
      </c>
      <c r="H71" s="9">
        <f t="shared" si="1"/>
        <v>0.1533272010964235</v>
      </c>
    </row>
    <row r="72" spans="1:8">
      <c r="A72" s="5">
        <v>70</v>
      </c>
      <c r="B72" s="6" t="s">
        <v>990</v>
      </c>
      <c r="C72" s="5">
        <v>32.18</v>
      </c>
      <c r="D72" s="5">
        <v>35</v>
      </c>
      <c r="E72" s="5">
        <v>10</v>
      </c>
      <c r="F72" s="7">
        <v>0.17722034360096636</v>
      </c>
      <c r="G72" s="6">
        <f>0.033+0.172</f>
        <v>0.20499999999999999</v>
      </c>
      <c r="H72" s="9">
        <f t="shared" si="1"/>
        <v>-2.7779656399033625E-2</v>
      </c>
    </row>
    <row r="73" spans="1:8">
      <c r="A73" s="5">
        <v>71</v>
      </c>
      <c r="B73" s="6" t="s">
        <v>991</v>
      </c>
      <c r="C73" s="5">
        <v>1.05</v>
      </c>
      <c r="D73" s="5">
        <v>70</v>
      </c>
      <c r="E73" s="5">
        <v>10</v>
      </c>
      <c r="F73" s="7">
        <v>4.2177400000000009</v>
      </c>
      <c r="G73" s="6">
        <v>1.7000000000000001E-2</v>
      </c>
      <c r="H73" s="9">
        <f t="shared" si="1"/>
        <v>4.2007400000000006</v>
      </c>
    </row>
    <row r="74" spans="1:8">
      <c r="A74" s="5">
        <v>72</v>
      </c>
      <c r="B74" s="6" t="s">
        <v>992</v>
      </c>
      <c r="C74" s="5">
        <v>21.7</v>
      </c>
      <c r="D74" s="5">
        <v>50</v>
      </c>
      <c r="E74" s="5">
        <v>10</v>
      </c>
      <c r="F74" s="7">
        <v>0.33889938740252051</v>
      </c>
      <c r="G74" s="6">
        <f>0.173+0.0105+0.02772</f>
        <v>0.21121999999999999</v>
      </c>
      <c r="H74" s="9">
        <f t="shared" si="1"/>
        <v>0.12767938740252052</v>
      </c>
    </row>
    <row r="75" spans="1:8">
      <c r="A75" s="5">
        <v>73</v>
      </c>
      <c r="B75" s="6" t="s">
        <v>993</v>
      </c>
      <c r="C75" s="5">
        <v>6.23</v>
      </c>
      <c r="D75" s="5">
        <v>70</v>
      </c>
      <c r="E75" s="5">
        <v>10</v>
      </c>
      <c r="F75" s="7">
        <v>1.6259915455509162</v>
      </c>
      <c r="G75" s="6">
        <v>0.104</v>
      </c>
      <c r="H75" s="9">
        <f t="shared" si="1"/>
        <v>1.5219915455509161</v>
      </c>
    </row>
    <row r="76" spans="1:8">
      <c r="A76" s="5">
        <v>74</v>
      </c>
      <c r="B76" s="6" t="s">
        <v>994</v>
      </c>
      <c r="C76" s="5">
        <v>18.2</v>
      </c>
      <c r="D76" s="5">
        <v>35</v>
      </c>
      <c r="E76" s="5">
        <v>10</v>
      </c>
      <c r="F76" s="7">
        <v>0.31334893720214824</v>
      </c>
      <c r="G76" s="6">
        <v>8.0000000000000002E-3</v>
      </c>
      <c r="H76" s="9">
        <f t="shared" si="1"/>
        <v>0.30534893720214823</v>
      </c>
    </row>
    <row r="77" spans="1:8">
      <c r="A77" s="5">
        <v>75</v>
      </c>
      <c r="B77" s="6" t="s">
        <v>995</v>
      </c>
      <c r="C77" s="5">
        <v>1.51</v>
      </c>
      <c r="D77" s="5">
        <v>35</v>
      </c>
      <c r="E77" s="5">
        <v>10</v>
      </c>
      <c r="F77" s="7">
        <v>2.7853000000000003</v>
      </c>
      <c r="G77" s="6">
        <v>1.6E-2</v>
      </c>
      <c r="H77" s="9">
        <f t="shared" si="1"/>
        <v>2.7693000000000003</v>
      </c>
    </row>
    <row r="78" spans="1:8">
      <c r="A78" s="5">
        <v>76</v>
      </c>
      <c r="B78" s="6" t="s">
        <v>996</v>
      </c>
      <c r="C78" s="5">
        <v>5.98</v>
      </c>
      <c r="D78" s="5">
        <v>35</v>
      </c>
      <c r="E78" s="5">
        <v>10</v>
      </c>
      <c r="F78" s="7">
        <v>0.95367067844132081</v>
      </c>
      <c r="G78" s="6">
        <v>3.2000000000000001E-2</v>
      </c>
      <c r="H78" s="9">
        <f t="shared" si="1"/>
        <v>0.92167067844132078</v>
      </c>
    </row>
    <row r="79" spans="1:8">
      <c r="A79" s="5">
        <v>77</v>
      </c>
      <c r="B79" s="6" t="s">
        <v>997</v>
      </c>
      <c r="C79" s="5">
        <v>19.73</v>
      </c>
      <c r="D79" s="5">
        <v>50</v>
      </c>
      <c r="E79" s="5">
        <v>10</v>
      </c>
      <c r="F79" s="7">
        <v>0.37273779557195608</v>
      </c>
      <c r="G79" s="6">
        <v>1.6E-2</v>
      </c>
      <c r="H79" s="9">
        <f t="shared" si="1"/>
        <v>0.35673779557195606</v>
      </c>
    </row>
    <row r="80" spans="1:8">
      <c r="A80" s="5">
        <v>78</v>
      </c>
      <c r="B80" s="6" t="s">
        <v>998</v>
      </c>
      <c r="C80" s="5">
        <v>19.3</v>
      </c>
      <c r="D80" s="5">
        <v>35</v>
      </c>
      <c r="E80" s="5">
        <v>10</v>
      </c>
      <c r="F80" s="7">
        <v>0.2954896713512486</v>
      </c>
      <c r="G80" s="6">
        <v>8.0000000000000002E-3</v>
      </c>
      <c r="H80" s="9">
        <f t="shared" si="1"/>
        <v>0.28748967135124859</v>
      </c>
    </row>
    <row r="81" spans="1:8">
      <c r="A81" s="5">
        <v>79</v>
      </c>
      <c r="B81" s="6" t="s">
        <v>999</v>
      </c>
      <c r="C81" s="5">
        <v>6.7</v>
      </c>
      <c r="D81" s="5">
        <v>35</v>
      </c>
      <c r="E81" s="5">
        <v>10</v>
      </c>
      <c r="F81" s="7">
        <v>0.8511866652356862</v>
      </c>
      <c r="G81" s="10">
        <f>0.048+0.01928+0.00831+0.08975</f>
        <v>0.16533999999999999</v>
      </c>
      <c r="H81" s="9">
        <f t="shared" si="1"/>
        <v>0.68584666523568627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9"/>
  <sheetViews>
    <sheetView view="pageBreakPreview" zoomScale="130" zoomScaleNormal="100" zoomScaleSheetLayoutView="130"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G37" sqref="G37"/>
    </sheetView>
  </sheetViews>
  <sheetFormatPr defaultColWidth="9.140625" defaultRowHeight="15"/>
  <cols>
    <col min="1" max="1" width="9.140625" style="4"/>
    <col min="2" max="2" width="41.710937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>
      <c r="A2" s="16" t="s">
        <v>48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49</v>
      </c>
      <c r="C3" s="5">
        <v>14.705</v>
      </c>
      <c r="D3" s="5">
        <v>35</v>
      </c>
      <c r="E3" s="5">
        <v>10</v>
      </c>
      <c r="F3" s="7">
        <v>0.38782391411622563</v>
      </c>
      <c r="G3" s="6">
        <v>0.43</v>
      </c>
      <c r="H3" s="9">
        <f>F3-G3</f>
        <v>-4.2176085883774361E-2</v>
      </c>
    </row>
    <row r="4" spans="1:9">
      <c r="A4" s="5">
        <v>2</v>
      </c>
      <c r="B4" s="6" t="s">
        <v>50</v>
      </c>
      <c r="C4" s="5">
        <v>15.5</v>
      </c>
      <c r="D4" s="5">
        <v>35</v>
      </c>
      <c r="E4" s="5">
        <v>10</v>
      </c>
      <c r="F4" s="7">
        <v>0.36793230045671599</v>
      </c>
      <c r="G4" s="9">
        <f>0.42+0.00844</f>
        <v>0.42843999999999999</v>
      </c>
      <c r="H4" s="9">
        <f t="shared" ref="H4:H67" si="0">F4-G4</f>
        <v>-6.0507699543283999E-2</v>
      </c>
    </row>
    <row r="5" spans="1:9">
      <c r="A5" s="5">
        <v>3</v>
      </c>
      <c r="B5" s="6" t="s">
        <v>51</v>
      </c>
      <c r="C5" s="5">
        <v>7.9</v>
      </c>
      <c r="D5" s="5">
        <v>50</v>
      </c>
      <c r="E5" s="5">
        <v>10</v>
      </c>
      <c r="F5" s="7">
        <v>0.93090084894110048</v>
      </c>
      <c r="G5" s="10">
        <f>0.18+0.0185+0.00749</f>
        <v>0.20598999999999998</v>
      </c>
      <c r="H5" s="9">
        <f t="shared" si="0"/>
        <v>0.72491084894110047</v>
      </c>
    </row>
    <row r="6" spans="1:9">
      <c r="A6" s="5">
        <v>4</v>
      </c>
      <c r="B6" s="6" t="s">
        <v>52</v>
      </c>
      <c r="C6" s="5">
        <v>2.8</v>
      </c>
      <c r="D6" s="5">
        <v>50</v>
      </c>
      <c r="E6" s="5">
        <v>10</v>
      </c>
      <c r="F6" s="7">
        <v>2.6264702523695336</v>
      </c>
      <c r="G6" s="6">
        <v>0.25</v>
      </c>
      <c r="H6" s="9">
        <f t="shared" si="0"/>
        <v>2.3764702523695336</v>
      </c>
    </row>
    <row r="7" spans="1:9">
      <c r="A7" s="5">
        <v>5</v>
      </c>
      <c r="B7" s="6" t="s">
        <v>53</v>
      </c>
      <c r="C7" s="5">
        <v>6.7</v>
      </c>
      <c r="D7" s="5">
        <v>35</v>
      </c>
      <c r="E7" s="5">
        <v>10</v>
      </c>
      <c r="F7" s="7">
        <v>0.8511866652356862</v>
      </c>
      <c r="G7" s="10">
        <f>0.35+0.00724</f>
        <v>0.35724</v>
      </c>
      <c r="H7" s="9">
        <f t="shared" si="0"/>
        <v>0.4939466652356862</v>
      </c>
    </row>
    <row r="8" spans="1:9">
      <c r="A8" s="5">
        <v>6</v>
      </c>
      <c r="B8" s="6" t="s">
        <v>54</v>
      </c>
      <c r="C8" s="5">
        <v>2.2999999999999998</v>
      </c>
      <c r="D8" s="5">
        <v>35</v>
      </c>
      <c r="E8" s="5">
        <v>10</v>
      </c>
      <c r="F8" s="7">
        <v>2.4795437639474338</v>
      </c>
      <c r="G8" s="10">
        <f>0.2+0.00476+0.00476</f>
        <v>0.20951999999999998</v>
      </c>
      <c r="H8" s="9">
        <f t="shared" si="0"/>
        <v>2.2700237639474339</v>
      </c>
    </row>
    <row r="9" spans="1:9">
      <c r="A9" s="5">
        <v>7</v>
      </c>
      <c r="B9" s="6" t="s">
        <v>55</v>
      </c>
      <c r="C9" s="5">
        <v>4.9000000000000004</v>
      </c>
      <c r="D9" s="5">
        <v>35</v>
      </c>
      <c r="E9" s="5">
        <v>10</v>
      </c>
      <c r="F9" s="7">
        <v>1.1638674810365506</v>
      </c>
      <c r="G9" s="6">
        <v>1.0900000000000001</v>
      </c>
      <c r="H9" s="9">
        <f t="shared" si="0"/>
        <v>7.3867481036550497E-2</v>
      </c>
    </row>
    <row r="10" spans="1:9">
      <c r="A10" s="5">
        <v>8</v>
      </c>
      <c r="B10" s="6" t="s">
        <v>56</v>
      </c>
      <c r="C10" s="5">
        <v>11.5</v>
      </c>
      <c r="D10" s="5">
        <v>50</v>
      </c>
      <c r="E10" s="5">
        <v>10</v>
      </c>
      <c r="F10" s="7">
        <v>0.6394884092725821</v>
      </c>
      <c r="G10" s="10">
        <f>0.63+0.00716+0.00794+0.0061+0.00366</f>
        <v>0.65485999999999989</v>
      </c>
      <c r="H10" s="9">
        <f t="shared" si="0"/>
        <v>-1.5371590727417783E-2</v>
      </c>
    </row>
    <row r="11" spans="1:9">
      <c r="A11" s="5">
        <v>9</v>
      </c>
      <c r="B11" s="6" t="s">
        <v>57</v>
      </c>
      <c r="C11" s="5">
        <v>5.9</v>
      </c>
      <c r="D11" s="5">
        <v>35</v>
      </c>
      <c r="E11" s="5">
        <v>10</v>
      </c>
      <c r="F11" s="7">
        <v>0.96660180628459291</v>
      </c>
      <c r="G11" s="6">
        <v>0.03</v>
      </c>
      <c r="H11" s="9">
        <f t="shared" si="0"/>
        <v>0.93660180628459289</v>
      </c>
    </row>
    <row r="12" spans="1:9">
      <c r="A12" s="5">
        <v>10</v>
      </c>
      <c r="B12" s="6" t="s">
        <v>58</v>
      </c>
      <c r="C12" s="5">
        <v>4.0999999999999996</v>
      </c>
      <c r="D12" s="5">
        <v>35</v>
      </c>
      <c r="E12" s="5">
        <v>10</v>
      </c>
      <c r="F12" s="7">
        <v>1.390963574897341</v>
      </c>
      <c r="G12" s="14">
        <f>0.03+0.00296</f>
        <v>3.2959999999999996E-2</v>
      </c>
      <c r="H12" s="9">
        <f t="shared" si="0"/>
        <v>1.3580035748973409</v>
      </c>
    </row>
    <row r="13" spans="1:9">
      <c r="A13" s="5">
        <v>11</v>
      </c>
      <c r="B13" s="6" t="s">
        <v>59</v>
      </c>
      <c r="C13" s="5">
        <v>1.3</v>
      </c>
      <c r="D13" s="5">
        <v>35</v>
      </c>
      <c r="E13" s="5">
        <v>10</v>
      </c>
      <c r="F13" s="7">
        <v>2.7853000000000003</v>
      </c>
      <c r="G13" s="6">
        <v>0.2</v>
      </c>
      <c r="H13" s="9">
        <f t="shared" si="0"/>
        <v>2.5853000000000002</v>
      </c>
    </row>
    <row r="14" spans="1:9">
      <c r="A14" s="5">
        <v>12</v>
      </c>
      <c r="B14" s="6" t="s">
        <v>60</v>
      </c>
      <c r="C14" s="5">
        <v>5.6</v>
      </c>
      <c r="D14" s="5">
        <v>35</v>
      </c>
      <c r="E14" s="5">
        <v>10</v>
      </c>
      <c r="F14" s="7">
        <v>1.0183840459069817</v>
      </c>
      <c r="G14" s="6">
        <v>0.03</v>
      </c>
      <c r="H14" s="9">
        <f t="shared" si="0"/>
        <v>0.9883840459069817</v>
      </c>
    </row>
    <row r="15" spans="1:9" ht="14.45" customHeight="1">
      <c r="A15" s="5">
        <v>13</v>
      </c>
      <c r="B15" s="6" t="s">
        <v>61</v>
      </c>
      <c r="C15" s="5">
        <v>6.5</v>
      </c>
      <c r="D15" s="5">
        <v>35</v>
      </c>
      <c r="E15" s="5">
        <v>10</v>
      </c>
      <c r="F15" s="7">
        <v>0.87737702416601504</v>
      </c>
      <c r="G15" s="10">
        <f>0.1+0.00968+0.01113+0.00314</f>
        <v>0.12395</v>
      </c>
      <c r="H15" s="9">
        <f t="shared" si="0"/>
        <v>0.75342702416601504</v>
      </c>
      <c r="I15" s="19"/>
    </row>
    <row r="16" spans="1:9">
      <c r="A16" s="5">
        <v>14</v>
      </c>
      <c r="B16" s="6" t="s">
        <v>62</v>
      </c>
      <c r="C16" s="5">
        <v>5.4</v>
      </c>
      <c r="D16" s="5">
        <v>35</v>
      </c>
      <c r="E16" s="5">
        <v>10</v>
      </c>
      <c r="F16" s="7">
        <v>1.056101973533166</v>
      </c>
      <c r="G16" s="6">
        <v>0.18</v>
      </c>
      <c r="H16" s="9">
        <f t="shared" si="0"/>
        <v>0.8761019735331661</v>
      </c>
      <c r="I16" s="19"/>
    </row>
    <row r="17" spans="1:9">
      <c r="A17" s="5">
        <v>15</v>
      </c>
      <c r="B17" s="6" t="s">
        <v>63</v>
      </c>
      <c r="C17" s="5">
        <v>16</v>
      </c>
      <c r="D17" s="5">
        <v>25</v>
      </c>
      <c r="E17" s="5">
        <v>10</v>
      </c>
      <c r="F17" s="7">
        <v>0.24206449440094308</v>
      </c>
      <c r="G17" s="6">
        <v>0.01</v>
      </c>
      <c r="H17" s="9">
        <f t="shared" si="0"/>
        <v>0.23206449440094307</v>
      </c>
      <c r="I17" s="19"/>
    </row>
    <row r="18" spans="1:9">
      <c r="A18" s="5">
        <v>16</v>
      </c>
      <c r="B18" s="6" t="s">
        <v>64</v>
      </c>
      <c r="C18" s="5">
        <v>3.9</v>
      </c>
      <c r="D18" s="5">
        <v>35</v>
      </c>
      <c r="E18" s="5">
        <v>10</v>
      </c>
      <c r="F18" s="7">
        <v>1.4622950402766917</v>
      </c>
      <c r="G18" s="6">
        <v>0.05</v>
      </c>
      <c r="H18" s="9">
        <f t="shared" si="0"/>
        <v>1.4122950402766916</v>
      </c>
      <c r="I18" s="19"/>
    </row>
    <row r="19" spans="1:9">
      <c r="A19" s="5">
        <v>17</v>
      </c>
      <c r="B19" s="6" t="s">
        <v>65</v>
      </c>
      <c r="C19" s="5">
        <v>31</v>
      </c>
      <c r="D19" s="5">
        <v>50</v>
      </c>
      <c r="E19" s="5">
        <v>10</v>
      </c>
      <c r="F19" s="7">
        <v>0.23722957118176433</v>
      </c>
      <c r="G19" s="6">
        <v>0.02</v>
      </c>
      <c r="H19" s="9">
        <f t="shared" si="0"/>
        <v>0.21722957118176434</v>
      </c>
    </row>
    <row r="20" spans="1:9">
      <c r="A20" s="5">
        <v>18</v>
      </c>
      <c r="B20" s="6" t="s">
        <v>66</v>
      </c>
      <c r="C20" s="5">
        <v>0.6</v>
      </c>
      <c r="D20" s="5">
        <v>35</v>
      </c>
      <c r="E20" s="5">
        <v>10</v>
      </c>
      <c r="F20" s="7">
        <v>2.7853000000000003</v>
      </c>
      <c r="G20" s="6">
        <v>0.03</v>
      </c>
      <c r="H20" s="9">
        <f t="shared" si="0"/>
        <v>2.7553000000000005</v>
      </c>
    </row>
    <row r="21" spans="1:9">
      <c r="A21" s="5">
        <v>19</v>
      </c>
      <c r="B21" s="6" t="s">
        <v>67</v>
      </c>
      <c r="C21" s="5">
        <v>22.1</v>
      </c>
      <c r="D21" s="5">
        <v>35</v>
      </c>
      <c r="E21" s="5">
        <v>10</v>
      </c>
      <c r="F21" s="7">
        <v>0.25805206593118085</v>
      </c>
      <c r="G21" s="6">
        <v>0.03</v>
      </c>
      <c r="H21" s="9">
        <f t="shared" si="0"/>
        <v>0.22805206593118085</v>
      </c>
    </row>
    <row r="22" spans="1:9">
      <c r="A22" s="5">
        <v>20</v>
      </c>
      <c r="B22" s="6" t="s">
        <v>68</v>
      </c>
      <c r="C22" s="5">
        <v>2.8</v>
      </c>
      <c r="D22" s="5">
        <v>35</v>
      </c>
      <c r="E22" s="5">
        <v>10</v>
      </c>
      <c r="F22" s="7">
        <v>2.0367680918139635</v>
      </c>
      <c r="G22" s="6">
        <v>0.02</v>
      </c>
      <c r="H22" s="9">
        <f t="shared" si="0"/>
        <v>2.0167680918139634</v>
      </c>
    </row>
    <row r="23" spans="1:9">
      <c r="A23" s="5">
        <v>21</v>
      </c>
      <c r="B23" s="6" t="s">
        <v>69</v>
      </c>
      <c r="C23" s="5">
        <v>12.3</v>
      </c>
      <c r="D23" s="5">
        <v>35</v>
      </c>
      <c r="E23" s="5">
        <v>10</v>
      </c>
      <c r="F23" s="7">
        <v>0.4636545249657803</v>
      </c>
      <c r="G23" s="6">
        <v>0.05</v>
      </c>
      <c r="H23" s="9">
        <f t="shared" si="0"/>
        <v>0.41365452496578031</v>
      </c>
    </row>
    <row r="24" spans="1:9">
      <c r="A24" s="5">
        <v>22</v>
      </c>
      <c r="B24" s="6" t="s">
        <v>70</v>
      </c>
      <c r="C24" s="5">
        <v>3</v>
      </c>
      <c r="D24" s="5">
        <v>35</v>
      </c>
      <c r="E24" s="5">
        <v>10</v>
      </c>
      <c r="F24" s="7">
        <v>1.9009835523596994</v>
      </c>
      <c r="G24" s="6">
        <v>7.0000000000000007E-2</v>
      </c>
      <c r="H24" s="9">
        <f t="shared" si="0"/>
        <v>1.8309835523596993</v>
      </c>
    </row>
    <row r="25" spans="1:9">
      <c r="A25" s="5">
        <v>23</v>
      </c>
      <c r="B25" s="6" t="s">
        <v>71</v>
      </c>
      <c r="C25" s="5">
        <v>19.600000000000001</v>
      </c>
      <c r="D25" s="5">
        <v>35</v>
      </c>
      <c r="E25" s="5">
        <v>10</v>
      </c>
      <c r="F25" s="7">
        <v>0.29096687025913764</v>
      </c>
      <c r="G25" s="6">
        <v>0.03</v>
      </c>
      <c r="H25" s="9">
        <f t="shared" si="0"/>
        <v>0.26096687025913767</v>
      </c>
    </row>
    <row r="26" spans="1:9">
      <c r="A26" s="5">
        <v>24</v>
      </c>
      <c r="B26" s="6" t="s">
        <v>72</v>
      </c>
      <c r="C26" s="5">
        <v>1</v>
      </c>
      <c r="D26" s="5">
        <v>35</v>
      </c>
      <c r="E26" s="5">
        <v>10</v>
      </c>
      <c r="F26" s="7">
        <v>2.7853000000000003</v>
      </c>
      <c r="G26" s="6">
        <v>0</v>
      </c>
      <c r="H26" s="9">
        <f t="shared" si="0"/>
        <v>2.7853000000000003</v>
      </c>
    </row>
    <row r="27" spans="1:9">
      <c r="A27" s="5">
        <v>25</v>
      </c>
      <c r="B27" s="6" t="s">
        <v>73</v>
      </c>
      <c r="C27" s="5">
        <v>4.5999999999999996</v>
      </c>
      <c r="D27" s="5">
        <v>50</v>
      </c>
      <c r="E27" s="5">
        <v>10</v>
      </c>
      <c r="F27" s="7">
        <v>1.5987210231814553</v>
      </c>
      <c r="G27" s="6">
        <v>0.05</v>
      </c>
      <c r="H27" s="9">
        <f t="shared" si="0"/>
        <v>1.5487210231814552</v>
      </c>
    </row>
    <row r="28" spans="1:9">
      <c r="A28" s="5">
        <v>26</v>
      </c>
      <c r="B28" s="6" t="s">
        <v>74</v>
      </c>
      <c r="C28" s="5">
        <v>4.4000000000000004</v>
      </c>
      <c r="D28" s="5">
        <v>50</v>
      </c>
      <c r="E28" s="5">
        <v>10</v>
      </c>
      <c r="F28" s="7">
        <v>1.671390160598794</v>
      </c>
      <c r="G28" s="6">
        <v>0.13</v>
      </c>
      <c r="H28" s="9">
        <f t="shared" si="0"/>
        <v>1.5413901605987941</v>
      </c>
    </row>
    <row r="29" spans="1:9">
      <c r="A29" s="5">
        <v>27</v>
      </c>
      <c r="B29" s="6" t="s">
        <v>75</v>
      </c>
      <c r="C29" s="5">
        <v>37.700000000000003</v>
      </c>
      <c r="D29" s="5">
        <v>35</v>
      </c>
      <c r="E29" s="5">
        <v>10</v>
      </c>
      <c r="F29" s="7">
        <v>0.15127190071827842</v>
      </c>
      <c r="G29" s="6">
        <v>0.05</v>
      </c>
      <c r="H29" s="9">
        <f t="shared" si="0"/>
        <v>0.10127190071827842</v>
      </c>
    </row>
    <row r="30" spans="1:9">
      <c r="A30" s="5">
        <v>28</v>
      </c>
      <c r="B30" s="6" t="s">
        <v>76</v>
      </c>
      <c r="C30" s="5">
        <v>6.2</v>
      </c>
      <c r="D30" s="5">
        <v>35</v>
      </c>
      <c r="E30" s="5">
        <v>10</v>
      </c>
      <c r="F30" s="7">
        <v>0.91983075114179003</v>
      </c>
      <c r="G30" s="6">
        <v>0.02</v>
      </c>
      <c r="H30" s="9">
        <f t="shared" si="0"/>
        <v>0.89983075114179001</v>
      </c>
    </row>
    <row r="31" spans="1:9">
      <c r="A31" s="5">
        <v>29</v>
      </c>
      <c r="B31" s="6" t="s">
        <v>77</v>
      </c>
      <c r="C31" s="5">
        <v>6.1</v>
      </c>
      <c r="D31" s="5">
        <v>35</v>
      </c>
      <c r="E31" s="5">
        <v>10</v>
      </c>
      <c r="F31" s="7">
        <v>0.93490994378345871</v>
      </c>
      <c r="G31" s="10">
        <f>0.13+0.00671</f>
        <v>0.13671</v>
      </c>
      <c r="H31" s="9">
        <f t="shared" si="0"/>
        <v>0.79819994378345871</v>
      </c>
    </row>
    <row r="32" spans="1:9">
      <c r="A32" s="5">
        <v>30</v>
      </c>
      <c r="B32" s="6" t="s">
        <v>78</v>
      </c>
      <c r="C32" s="5">
        <v>4.2</v>
      </c>
      <c r="D32" s="5">
        <v>35</v>
      </c>
      <c r="E32" s="5">
        <v>10</v>
      </c>
      <c r="F32" s="7">
        <v>1.3578453945426425</v>
      </c>
      <c r="G32" s="6">
        <v>0.05</v>
      </c>
      <c r="H32" s="9">
        <f t="shared" si="0"/>
        <v>1.3078453945426425</v>
      </c>
    </row>
    <row r="33" spans="1:8">
      <c r="A33" s="5">
        <v>31</v>
      </c>
      <c r="B33" s="6" t="s">
        <v>79</v>
      </c>
      <c r="C33" s="5">
        <v>16</v>
      </c>
      <c r="D33" s="5">
        <v>35</v>
      </c>
      <c r="E33" s="5">
        <v>10</v>
      </c>
      <c r="F33" s="7">
        <v>0.35643441606744364</v>
      </c>
      <c r="G33" s="6">
        <v>0.03</v>
      </c>
      <c r="H33" s="9">
        <f t="shared" si="0"/>
        <v>0.32643441606744361</v>
      </c>
    </row>
    <row r="34" spans="1:8">
      <c r="A34" s="5">
        <v>32</v>
      </c>
      <c r="B34" s="6" t="s">
        <v>80</v>
      </c>
      <c r="C34" s="5">
        <v>2.1</v>
      </c>
      <c r="D34" s="5">
        <v>35</v>
      </c>
      <c r="E34" s="5">
        <v>10</v>
      </c>
      <c r="F34" s="7">
        <v>2.7156907890852851</v>
      </c>
      <c r="G34" s="6">
        <v>0.02</v>
      </c>
      <c r="H34" s="9">
        <f t="shared" si="0"/>
        <v>2.695690789085285</v>
      </c>
    </row>
    <row r="35" spans="1:8">
      <c r="A35" s="5">
        <v>33</v>
      </c>
      <c r="B35" s="6" t="s">
        <v>81</v>
      </c>
      <c r="C35" s="5">
        <v>1</v>
      </c>
      <c r="D35" s="5">
        <v>50</v>
      </c>
      <c r="E35" s="5">
        <v>10</v>
      </c>
      <c r="F35" s="7">
        <v>3.3423600000000007</v>
      </c>
      <c r="G35" s="6">
        <v>0.02</v>
      </c>
      <c r="H35" s="9">
        <f t="shared" si="0"/>
        <v>3.3223600000000006</v>
      </c>
    </row>
    <row r="36" spans="1:8">
      <c r="A36" s="5">
        <v>34</v>
      </c>
      <c r="B36" s="6" t="s">
        <v>82</v>
      </c>
      <c r="C36" s="5">
        <v>3.5</v>
      </c>
      <c r="D36" s="5">
        <v>50</v>
      </c>
      <c r="E36" s="5">
        <v>10</v>
      </c>
      <c r="F36" s="7">
        <v>2.101176201895627</v>
      </c>
      <c r="G36" s="6">
        <f>0.05+0.001</f>
        <v>5.1000000000000004E-2</v>
      </c>
      <c r="H36" s="9">
        <f t="shared" si="0"/>
        <v>2.0501762018956269</v>
      </c>
    </row>
    <row r="37" spans="1:8">
      <c r="A37" s="5">
        <v>35</v>
      </c>
      <c r="B37" s="6" t="s">
        <v>83</v>
      </c>
      <c r="C37" s="5">
        <v>7.2</v>
      </c>
      <c r="D37" s="5">
        <v>35</v>
      </c>
      <c r="E37" s="5">
        <v>10</v>
      </c>
      <c r="F37" s="7">
        <v>0.79207648014987464</v>
      </c>
      <c r="G37" s="6">
        <v>0.03</v>
      </c>
      <c r="H37" s="9">
        <f t="shared" si="0"/>
        <v>0.76207648014987461</v>
      </c>
    </row>
    <row r="38" spans="1:8">
      <c r="A38" s="5">
        <v>36</v>
      </c>
      <c r="B38" s="6" t="s">
        <v>84</v>
      </c>
      <c r="C38" s="5">
        <v>3</v>
      </c>
      <c r="D38" s="5">
        <v>35</v>
      </c>
      <c r="E38" s="5">
        <v>10</v>
      </c>
      <c r="F38" s="7">
        <v>1.9009835523596994</v>
      </c>
      <c r="G38" s="6">
        <v>0</v>
      </c>
      <c r="H38" s="9">
        <f t="shared" si="0"/>
        <v>1.9009835523596994</v>
      </c>
    </row>
    <row r="39" spans="1:8">
      <c r="A39" s="5">
        <v>37</v>
      </c>
      <c r="B39" s="6" t="s">
        <v>85</v>
      </c>
      <c r="C39" s="5">
        <v>1.7</v>
      </c>
      <c r="D39" s="5">
        <v>35</v>
      </c>
      <c r="E39" s="5">
        <v>10</v>
      </c>
      <c r="F39" s="7">
        <v>2.7853000000000003</v>
      </c>
      <c r="G39" s="6">
        <v>0.02</v>
      </c>
      <c r="H39" s="9">
        <f t="shared" si="0"/>
        <v>2.7653000000000003</v>
      </c>
    </row>
    <row r="40" spans="1:8">
      <c r="A40" s="5">
        <v>38</v>
      </c>
      <c r="B40" s="6" t="s">
        <v>86</v>
      </c>
      <c r="C40" s="5">
        <v>2.5</v>
      </c>
      <c r="D40" s="5">
        <v>35</v>
      </c>
      <c r="E40" s="5">
        <v>10</v>
      </c>
      <c r="F40" s="7">
        <v>2.2811802628316391</v>
      </c>
      <c r="G40" s="6">
        <f>0.07+0.00829</f>
        <v>7.8290000000000012E-2</v>
      </c>
      <c r="H40" s="9">
        <f t="shared" si="0"/>
        <v>2.2028902628316391</v>
      </c>
    </row>
    <row r="41" spans="1:8">
      <c r="A41" s="5">
        <v>39</v>
      </c>
      <c r="B41" s="6" t="s">
        <v>87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0.05</v>
      </c>
      <c r="H41" s="9">
        <f t="shared" si="0"/>
        <v>1.5794144734511708</v>
      </c>
    </row>
    <row r="42" spans="1:8">
      <c r="A42" s="5">
        <v>40</v>
      </c>
      <c r="B42" s="6" t="s">
        <v>88</v>
      </c>
      <c r="C42" s="5">
        <v>13</v>
      </c>
      <c r="D42" s="5">
        <v>35</v>
      </c>
      <c r="E42" s="5">
        <v>10</v>
      </c>
      <c r="F42" s="7">
        <v>0.43868851208300752</v>
      </c>
      <c r="G42" s="6">
        <v>0.08</v>
      </c>
      <c r="H42" s="9">
        <f t="shared" si="0"/>
        <v>0.3586885120830075</v>
      </c>
    </row>
    <row r="43" spans="1:8">
      <c r="A43" s="5">
        <v>41</v>
      </c>
      <c r="B43" s="6" t="s">
        <v>89</v>
      </c>
      <c r="C43" s="5">
        <v>42.7</v>
      </c>
      <c r="D43" s="5">
        <v>35</v>
      </c>
      <c r="E43" s="5">
        <v>10</v>
      </c>
      <c r="F43" s="7">
        <v>0.13355856339763694</v>
      </c>
      <c r="G43" s="6">
        <f>0.03+0.0105</f>
        <v>4.0500000000000001E-2</v>
      </c>
      <c r="H43" s="9">
        <f t="shared" si="0"/>
        <v>9.3058563397636934E-2</v>
      </c>
    </row>
    <row r="44" spans="1:8">
      <c r="A44" s="5">
        <v>42</v>
      </c>
      <c r="B44" s="6" t="s">
        <v>90</v>
      </c>
      <c r="C44" s="5">
        <v>0.6</v>
      </c>
      <c r="D44" s="5">
        <v>35</v>
      </c>
      <c r="E44" s="5">
        <v>10</v>
      </c>
      <c r="F44" s="7">
        <v>2.7853000000000003</v>
      </c>
      <c r="G44" s="6">
        <v>0.13</v>
      </c>
      <c r="H44" s="9">
        <f t="shared" si="0"/>
        <v>2.6553000000000004</v>
      </c>
    </row>
    <row r="45" spans="1:8">
      <c r="A45" s="5">
        <v>43</v>
      </c>
      <c r="B45" s="6" t="s">
        <v>91</v>
      </c>
      <c r="C45" s="5">
        <v>3.2</v>
      </c>
      <c r="D45" s="5">
        <v>35</v>
      </c>
      <c r="E45" s="5">
        <v>10</v>
      </c>
      <c r="F45" s="7">
        <v>1.7821720803372179</v>
      </c>
      <c r="G45" s="10">
        <f>0.12+0.00713+0.00529</f>
        <v>0.13241999999999998</v>
      </c>
      <c r="H45" s="9">
        <f t="shared" si="0"/>
        <v>1.6497520803372179</v>
      </c>
    </row>
    <row r="46" spans="1:8">
      <c r="A46" s="5">
        <v>44</v>
      </c>
      <c r="B46" s="6" t="s">
        <v>92</v>
      </c>
      <c r="C46" s="5">
        <v>1.45</v>
      </c>
      <c r="D46" s="5">
        <v>35</v>
      </c>
      <c r="E46" s="5">
        <v>10</v>
      </c>
      <c r="F46" s="7">
        <v>2.7853000000000003</v>
      </c>
      <c r="G46" s="6">
        <v>0.03</v>
      </c>
      <c r="H46" s="9">
        <f t="shared" si="0"/>
        <v>2.7553000000000005</v>
      </c>
    </row>
    <row r="47" spans="1:8">
      <c r="A47" s="5">
        <v>45</v>
      </c>
      <c r="B47" s="6" t="s">
        <v>93</v>
      </c>
      <c r="C47" s="5">
        <v>1.3</v>
      </c>
      <c r="D47" s="5">
        <v>35</v>
      </c>
      <c r="E47" s="5">
        <v>10</v>
      </c>
      <c r="F47" s="7">
        <v>2.7853000000000003</v>
      </c>
      <c r="G47" s="6">
        <v>0.05</v>
      </c>
      <c r="H47" s="9">
        <f t="shared" si="0"/>
        <v>2.7353000000000005</v>
      </c>
    </row>
    <row r="48" spans="1:8">
      <c r="A48" s="5">
        <v>46</v>
      </c>
      <c r="B48" s="6" t="s">
        <v>94</v>
      </c>
      <c r="C48" s="5">
        <v>3.4</v>
      </c>
      <c r="D48" s="5">
        <v>70</v>
      </c>
      <c r="E48" s="5">
        <v>10</v>
      </c>
      <c r="F48" s="7">
        <v>2.9793903908182964</v>
      </c>
      <c r="G48" s="6">
        <v>7.0000000000000007E-2</v>
      </c>
      <c r="H48" s="9">
        <f t="shared" si="0"/>
        <v>2.9093903908182965</v>
      </c>
    </row>
    <row r="49" spans="1:8">
      <c r="A49" s="5">
        <v>47</v>
      </c>
      <c r="B49" s="6" t="s">
        <v>95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0.02</v>
      </c>
      <c r="H49" s="9">
        <f t="shared" si="0"/>
        <v>2.7653000000000003</v>
      </c>
    </row>
    <row r="50" spans="1:8">
      <c r="A50" s="5">
        <v>48</v>
      </c>
      <c r="B50" s="6" t="s">
        <v>96</v>
      </c>
      <c r="C50" s="5">
        <v>14.2</v>
      </c>
      <c r="D50" s="5">
        <v>35</v>
      </c>
      <c r="E50" s="5">
        <v>10</v>
      </c>
      <c r="F50" s="7">
        <v>0.40161624345627456</v>
      </c>
      <c r="G50" s="6">
        <v>0.02</v>
      </c>
      <c r="H50" s="9">
        <f t="shared" si="0"/>
        <v>0.38161624345627454</v>
      </c>
    </row>
    <row r="51" spans="1:8">
      <c r="A51" s="5">
        <v>49</v>
      </c>
      <c r="B51" s="6" t="s">
        <v>97</v>
      </c>
      <c r="C51" s="5">
        <v>2.5</v>
      </c>
      <c r="D51" s="5">
        <v>35</v>
      </c>
      <c r="E51" s="5">
        <v>10</v>
      </c>
      <c r="F51" s="7">
        <v>2.2811802628316391</v>
      </c>
      <c r="G51" s="6">
        <v>0</v>
      </c>
      <c r="H51" s="9">
        <f t="shared" si="0"/>
        <v>2.2811802628316391</v>
      </c>
    </row>
    <row r="52" spans="1:8">
      <c r="A52" s="5">
        <v>50</v>
      </c>
      <c r="B52" s="6" t="s">
        <v>98</v>
      </c>
      <c r="C52" s="5">
        <v>12</v>
      </c>
      <c r="D52" s="5">
        <v>35</v>
      </c>
      <c r="E52" s="5">
        <v>10</v>
      </c>
      <c r="F52" s="7">
        <v>0.47524588808992485</v>
      </c>
      <c r="G52" s="6">
        <v>0.02</v>
      </c>
      <c r="H52" s="9">
        <f t="shared" si="0"/>
        <v>0.45524588808992483</v>
      </c>
    </row>
    <row r="53" spans="1:8">
      <c r="A53" s="5">
        <v>51</v>
      </c>
      <c r="B53" s="6" t="s">
        <v>99</v>
      </c>
      <c r="C53" s="5">
        <v>23.5</v>
      </c>
      <c r="D53" s="5">
        <v>35</v>
      </c>
      <c r="E53" s="5">
        <v>10</v>
      </c>
      <c r="F53" s="7">
        <v>0.24267875136506797</v>
      </c>
      <c r="G53" s="6">
        <v>0.05</v>
      </c>
      <c r="H53" s="9">
        <f t="shared" si="0"/>
        <v>0.19267875136506796</v>
      </c>
    </row>
    <row r="54" spans="1:8">
      <c r="A54" s="5">
        <v>52</v>
      </c>
      <c r="B54" s="6" t="s">
        <v>100</v>
      </c>
      <c r="C54" s="5">
        <v>8.5</v>
      </c>
      <c r="D54" s="5">
        <v>35</v>
      </c>
      <c r="E54" s="5">
        <v>10</v>
      </c>
      <c r="F54" s="7">
        <v>0.6709353714210704</v>
      </c>
      <c r="G54" s="6">
        <v>0.05</v>
      </c>
      <c r="H54" s="9">
        <f t="shared" si="0"/>
        <v>0.62093537142107036</v>
      </c>
    </row>
    <row r="55" spans="1:8">
      <c r="A55" s="5">
        <v>53</v>
      </c>
      <c r="B55" s="6" t="s">
        <v>101</v>
      </c>
      <c r="C55" s="5">
        <v>2.25</v>
      </c>
      <c r="D55" s="5">
        <v>35</v>
      </c>
      <c r="E55" s="5">
        <v>10</v>
      </c>
      <c r="F55" s="7">
        <v>2.5346447364795992</v>
      </c>
      <c r="G55" s="6">
        <v>0.01</v>
      </c>
      <c r="H55" s="9">
        <f t="shared" si="0"/>
        <v>2.5246447364795994</v>
      </c>
    </row>
    <row r="56" spans="1:8">
      <c r="A56" s="5">
        <v>54</v>
      </c>
      <c r="B56" s="6" t="s">
        <v>102</v>
      </c>
      <c r="C56" s="5">
        <v>4.3</v>
      </c>
      <c r="D56" s="5">
        <v>50</v>
      </c>
      <c r="E56" s="5">
        <v>10</v>
      </c>
      <c r="F56" s="7">
        <v>1.7102596992173706</v>
      </c>
      <c r="G56" s="6">
        <v>0.02</v>
      </c>
      <c r="H56" s="9">
        <f t="shared" si="0"/>
        <v>1.6902596992173706</v>
      </c>
    </row>
    <row r="57" spans="1:8">
      <c r="A57" s="5">
        <v>55</v>
      </c>
      <c r="B57" s="6" t="s">
        <v>103</v>
      </c>
      <c r="C57" s="5">
        <v>2.8</v>
      </c>
      <c r="D57" s="5">
        <v>35</v>
      </c>
      <c r="E57" s="5">
        <v>10</v>
      </c>
      <c r="F57" s="7">
        <v>2.0367680918139635</v>
      </c>
      <c r="G57" s="6">
        <v>0.12</v>
      </c>
      <c r="H57" s="9">
        <f t="shared" si="0"/>
        <v>1.9167680918139633</v>
      </c>
    </row>
    <row r="58" spans="1:8">
      <c r="A58" s="5">
        <v>56</v>
      </c>
      <c r="B58" s="6" t="s">
        <v>104</v>
      </c>
      <c r="C58" s="5">
        <v>4.4000000000000004</v>
      </c>
      <c r="D58" s="5">
        <v>50</v>
      </c>
      <c r="E58" s="5">
        <v>10</v>
      </c>
      <c r="F58" s="7">
        <v>1.671390160598794</v>
      </c>
      <c r="G58" s="6">
        <v>0.12</v>
      </c>
      <c r="H58" s="9">
        <f t="shared" si="0"/>
        <v>1.5513901605987939</v>
      </c>
    </row>
    <row r="59" spans="1:8">
      <c r="A59" s="5">
        <v>57</v>
      </c>
      <c r="B59" s="6" t="s">
        <v>105</v>
      </c>
      <c r="C59" s="5">
        <v>19.399999999999999</v>
      </c>
      <c r="D59" s="5">
        <v>35</v>
      </c>
      <c r="E59" s="5">
        <v>10</v>
      </c>
      <c r="F59" s="7">
        <v>0.29396652871541745</v>
      </c>
      <c r="G59" s="6">
        <v>0.02</v>
      </c>
      <c r="H59" s="9">
        <f t="shared" si="0"/>
        <v>0.27396652871541743</v>
      </c>
    </row>
    <row r="60" spans="1:8">
      <c r="A60" s="5">
        <v>58</v>
      </c>
      <c r="B60" s="6" t="s">
        <v>106</v>
      </c>
      <c r="C60" s="5">
        <v>7.8</v>
      </c>
      <c r="D60" s="5">
        <v>35</v>
      </c>
      <c r="E60" s="5">
        <v>10</v>
      </c>
      <c r="F60" s="7">
        <v>0.73114752013834583</v>
      </c>
      <c r="G60" s="6">
        <v>0.02</v>
      </c>
      <c r="H60" s="9">
        <f t="shared" si="0"/>
        <v>0.71114752013834581</v>
      </c>
    </row>
    <row r="61" spans="1:8">
      <c r="A61" s="5">
        <v>59</v>
      </c>
      <c r="B61" s="6" t="s">
        <v>107</v>
      </c>
      <c r="C61" s="5">
        <v>1.05</v>
      </c>
      <c r="D61" s="5">
        <v>25</v>
      </c>
      <c r="E61" s="5">
        <v>10</v>
      </c>
      <c r="F61" s="7">
        <v>2.0690800000000005</v>
      </c>
      <c r="G61" s="6">
        <v>0.05</v>
      </c>
      <c r="H61" s="9">
        <f t="shared" si="0"/>
        <v>2.0190800000000007</v>
      </c>
    </row>
    <row r="62" spans="1:8">
      <c r="A62" s="5">
        <v>60</v>
      </c>
      <c r="B62" s="6" t="s">
        <v>108</v>
      </c>
      <c r="C62" s="5">
        <v>15.2</v>
      </c>
      <c r="D62" s="5">
        <v>35</v>
      </c>
      <c r="E62" s="5">
        <v>10</v>
      </c>
      <c r="F62" s="7">
        <v>0.37519412217625642</v>
      </c>
      <c r="G62" s="6">
        <v>7.0000000000000007E-2</v>
      </c>
      <c r="H62" s="9">
        <f t="shared" si="0"/>
        <v>0.30519412217625641</v>
      </c>
    </row>
    <row r="63" spans="1:8">
      <c r="A63" s="5">
        <v>61</v>
      </c>
      <c r="B63" s="6" t="s">
        <v>109</v>
      </c>
      <c r="C63" s="5">
        <v>4</v>
      </c>
      <c r="D63" s="5">
        <v>35</v>
      </c>
      <c r="E63" s="5">
        <v>10</v>
      </c>
      <c r="F63" s="7">
        <v>1.4257376642697746</v>
      </c>
      <c r="G63" s="6">
        <v>0.03</v>
      </c>
      <c r="H63" s="9">
        <f t="shared" si="0"/>
        <v>1.3957376642697745</v>
      </c>
    </row>
    <row r="64" spans="1:8">
      <c r="A64" s="5">
        <v>62</v>
      </c>
      <c r="B64" s="6" t="s">
        <v>110</v>
      </c>
      <c r="C64" s="5">
        <v>20.2</v>
      </c>
      <c r="D64" s="5">
        <v>35</v>
      </c>
      <c r="E64" s="5">
        <v>10</v>
      </c>
      <c r="F64" s="7">
        <v>0.28232428995441078</v>
      </c>
      <c r="G64" s="6">
        <v>0.03</v>
      </c>
      <c r="H64" s="9">
        <f t="shared" si="0"/>
        <v>0.25232428995441081</v>
      </c>
    </row>
    <row r="65" spans="1:8">
      <c r="A65" s="5">
        <v>63</v>
      </c>
      <c r="B65" s="6" t="s">
        <v>111</v>
      </c>
      <c r="C65" s="5">
        <v>3.6</v>
      </c>
      <c r="D65" s="5">
        <v>35</v>
      </c>
      <c r="E65" s="5">
        <v>10</v>
      </c>
      <c r="F65" s="7">
        <v>1.5841529602997493</v>
      </c>
      <c r="G65" s="6">
        <v>7.0000000000000007E-2</v>
      </c>
      <c r="H65" s="9">
        <f t="shared" si="0"/>
        <v>1.5141529602997492</v>
      </c>
    </row>
    <row r="66" spans="1:8">
      <c r="A66" s="5">
        <v>64</v>
      </c>
      <c r="B66" s="6" t="s">
        <v>112</v>
      </c>
      <c r="C66" s="5">
        <v>3.9</v>
      </c>
      <c r="D66" s="5">
        <v>35</v>
      </c>
      <c r="E66" s="5">
        <v>10</v>
      </c>
      <c r="F66" s="7">
        <v>1.4622950402766917</v>
      </c>
      <c r="G66" s="6">
        <v>0.05</v>
      </c>
      <c r="H66" s="9">
        <f t="shared" si="0"/>
        <v>1.4122950402766916</v>
      </c>
    </row>
    <row r="67" spans="1:8">
      <c r="A67" s="5">
        <v>65</v>
      </c>
      <c r="B67" s="6" t="s">
        <v>113</v>
      </c>
      <c r="C67" s="5">
        <v>17.600000000000001</v>
      </c>
      <c r="D67" s="5">
        <v>35</v>
      </c>
      <c r="E67" s="5">
        <v>10</v>
      </c>
      <c r="F67" s="7">
        <v>0.32403128733403963</v>
      </c>
      <c r="G67" s="6">
        <f>0.25+0.0032+0.0034</f>
        <v>0.25659999999999999</v>
      </c>
      <c r="H67" s="9">
        <f t="shared" si="0"/>
        <v>6.7431287334039636E-2</v>
      </c>
    </row>
    <row r="68" spans="1:8">
      <c r="A68" s="5">
        <v>66</v>
      </c>
      <c r="B68" s="6" t="s">
        <v>114</v>
      </c>
      <c r="C68" s="5">
        <v>3.6</v>
      </c>
      <c r="D68" s="5">
        <v>35</v>
      </c>
      <c r="E68" s="5">
        <v>10</v>
      </c>
      <c r="F68" s="7">
        <v>1.5841529602997493</v>
      </c>
      <c r="G68" s="6">
        <v>0.05</v>
      </c>
      <c r="H68" s="9">
        <f t="shared" ref="H68:H109" si="1">F68-G68</f>
        <v>1.5341529602997492</v>
      </c>
    </row>
    <row r="69" spans="1:8">
      <c r="A69" s="5">
        <v>67</v>
      </c>
      <c r="B69" s="6" t="s">
        <v>115</v>
      </c>
      <c r="C69" s="5">
        <v>12</v>
      </c>
      <c r="D69" s="5">
        <v>35</v>
      </c>
      <c r="E69" s="5">
        <v>10</v>
      </c>
      <c r="F69" s="7">
        <v>0.47524588808992485</v>
      </c>
      <c r="G69" s="6">
        <v>0.02</v>
      </c>
      <c r="H69" s="9">
        <f t="shared" si="1"/>
        <v>0.45524588808992483</v>
      </c>
    </row>
    <row r="70" spans="1:8">
      <c r="A70" s="5">
        <v>68</v>
      </c>
      <c r="B70" s="6" t="s">
        <v>116</v>
      </c>
      <c r="C70" s="5">
        <v>0.4</v>
      </c>
      <c r="D70" s="5">
        <v>35</v>
      </c>
      <c r="E70" s="5">
        <v>10</v>
      </c>
      <c r="F70" s="7">
        <v>2.7853000000000003</v>
      </c>
      <c r="G70" s="6">
        <v>2E-3</v>
      </c>
      <c r="H70" s="9">
        <f t="shared" si="1"/>
        <v>2.7833000000000006</v>
      </c>
    </row>
    <row r="71" spans="1:8">
      <c r="A71" s="5">
        <v>69</v>
      </c>
      <c r="B71" s="6" t="s">
        <v>117</v>
      </c>
      <c r="C71" s="5">
        <v>6.1</v>
      </c>
      <c r="D71" s="5">
        <v>35</v>
      </c>
      <c r="E71" s="5">
        <v>10</v>
      </c>
      <c r="F71" s="7">
        <v>0.93490994378345871</v>
      </c>
      <c r="G71" s="6">
        <v>0</v>
      </c>
      <c r="H71" s="9">
        <f t="shared" si="1"/>
        <v>0.93490994378345871</v>
      </c>
    </row>
    <row r="72" spans="1:8">
      <c r="A72" s="5">
        <v>70</v>
      </c>
      <c r="B72" s="6" t="s">
        <v>118</v>
      </c>
      <c r="C72" s="5">
        <v>13.1</v>
      </c>
      <c r="D72" s="5">
        <v>35</v>
      </c>
      <c r="E72" s="5">
        <v>10</v>
      </c>
      <c r="F72" s="7">
        <v>0.43533974481519838</v>
      </c>
      <c r="G72" s="6">
        <v>0.15</v>
      </c>
      <c r="H72" s="9">
        <f t="shared" si="1"/>
        <v>0.28533974481519842</v>
      </c>
    </row>
    <row r="73" spans="1:8">
      <c r="A73" s="5">
        <v>71</v>
      </c>
      <c r="B73" s="6" t="s">
        <v>119</v>
      </c>
      <c r="C73" s="5">
        <v>25.6</v>
      </c>
      <c r="D73" s="5">
        <v>35</v>
      </c>
      <c r="E73" s="5">
        <v>10</v>
      </c>
      <c r="F73" s="7">
        <v>0.22277151004215223</v>
      </c>
      <c r="G73" s="6">
        <v>0</v>
      </c>
      <c r="H73" s="9">
        <f t="shared" si="1"/>
        <v>0.22277151004215223</v>
      </c>
    </row>
    <row r="74" spans="1:8">
      <c r="A74" s="5">
        <v>72</v>
      </c>
      <c r="B74" s="6" t="s">
        <v>120</v>
      </c>
      <c r="C74" s="5">
        <v>1.2</v>
      </c>
      <c r="D74" s="5">
        <v>35</v>
      </c>
      <c r="E74" s="5">
        <v>10</v>
      </c>
      <c r="F74" s="7">
        <v>2.7853000000000003</v>
      </c>
      <c r="G74" s="6">
        <v>0.03</v>
      </c>
      <c r="H74" s="9">
        <f t="shared" si="1"/>
        <v>2.7553000000000005</v>
      </c>
    </row>
    <row r="75" spans="1:8">
      <c r="A75" s="5">
        <v>73</v>
      </c>
      <c r="B75" s="6" t="s">
        <v>121</v>
      </c>
      <c r="C75" s="5">
        <v>6</v>
      </c>
      <c r="D75" s="5">
        <v>35</v>
      </c>
      <c r="E75" s="5">
        <v>10</v>
      </c>
      <c r="F75" s="7">
        <v>0.9504917761798497</v>
      </c>
      <c r="G75" s="6">
        <v>0.12</v>
      </c>
      <c r="H75" s="9">
        <f t="shared" si="1"/>
        <v>0.83049177617984971</v>
      </c>
    </row>
    <row r="76" spans="1:8">
      <c r="A76" s="5">
        <v>74</v>
      </c>
      <c r="B76" s="6" t="s">
        <v>122</v>
      </c>
      <c r="C76" s="5">
        <v>43.5</v>
      </c>
      <c r="D76" s="5">
        <v>35</v>
      </c>
      <c r="E76" s="5">
        <v>10</v>
      </c>
      <c r="F76" s="7">
        <v>0.13110231395584135</v>
      </c>
      <c r="G76" s="6">
        <v>0.01</v>
      </c>
      <c r="H76" s="9">
        <f t="shared" si="1"/>
        <v>0.12110231395584135</v>
      </c>
    </row>
    <row r="77" spans="1:8">
      <c r="A77" s="5">
        <v>75</v>
      </c>
      <c r="B77" s="6" t="s">
        <v>123</v>
      </c>
      <c r="C77" s="5">
        <v>16.899999999999999</v>
      </c>
      <c r="D77" s="5">
        <v>35</v>
      </c>
      <c r="E77" s="5">
        <v>10</v>
      </c>
      <c r="F77" s="7">
        <v>0.3374527016023135</v>
      </c>
      <c r="G77" s="6">
        <v>0.02</v>
      </c>
      <c r="H77" s="9">
        <f t="shared" si="1"/>
        <v>0.31745270160231348</v>
      </c>
    </row>
    <row r="78" spans="1:8">
      <c r="A78" s="5">
        <v>76</v>
      </c>
      <c r="B78" s="6" t="s">
        <v>124</v>
      </c>
      <c r="C78" s="5">
        <v>35.700000000000003</v>
      </c>
      <c r="D78" s="5">
        <v>35</v>
      </c>
      <c r="E78" s="5">
        <v>10</v>
      </c>
      <c r="F78" s="7">
        <v>0.15974651700501671</v>
      </c>
      <c r="G78" s="6">
        <v>0.02</v>
      </c>
      <c r="H78" s="9">
        <f t="shared" si="1"/>
        <v>0.13974651700501672</v>
      </c>
    </row>
    <row r="79" spans="1:8">
      <c r="A79" s="5">
        <v>77</v>
      </c>
      <c r="B79" s="6" t="s">
        <v>125</v>
      </c>
      <c r="C79" s="5">
        <v>4</v>
      </c>
      <c r="D79" s="5">
        <v>35</v>
      </c>
      <c r="E79" s="5">
        <v>10</v>
      </c>
      <c r="F79" s="7">
        <v>1.4257376642697746</v>
      </c>
      <c r="G79" s="6">
        <v>0.1</v>
      </c>
      <c r="H79" s="9">
        <f t="shared" si="1"/>
        <v>1.3257376642697745</v>
      </c>
    </row>
    <row r="80" spans="1:8">
      <c r="A80" s="5">
        <v>78</v>
      </c>
      <c r="B80" s="6" t="s">
        <v>126</v>
      </c>
      <c r="C80" s="5">
        <v>1.4</v>
      </c>
      <c r="D80" s="5">
        <v>35</v>
      </c>
      <c r="E80" s="5">
        <v>10</v>
      </c>
      <c r="F80" s="7">
        <v>2.7853000000000003</v>
      </c>
      <c r="G80" s="6">
        <v>0</v>
      </c>
      <c r="H80" s="9">
        <f t="shared" si="1"/>
        <v>2.7853000000000003</v>
      </c>
    </row>
    <row r="81" spans="1:8">
      <c r="A81" s="5">
        <v>79</v>
      </c>
      <c r="B81" s="6" t="s">
        <v>127</v>
      </c>
      <c r="C81" s="5">
        <v>2.2999999999999998</v>
      </c>
      <c r="D81" s="5">
        <v>35</v>
      </c>
      <c r="E81" s="5">
        <v>10</v>
      </c>
      <c r="F81" s="7">
        <v>2.4795437639474338</v>
      </c>
      <c r="G81" s="6">
        <v>0.05</v>
      </c>
      <c r="H81" s="9">
        <f t="shared" si="1"/>
        <v>2.429543763947434</v>
      </c>
    </row>
    <row r="82" spans="1:8">
      <c r="A82" s="5">
        <v>80</v>
      </c>
      <c r="B82" s="6" t="s">
        <v>128</v>
      </c>
      <c r="C82" s="5">
        <v>4.82</v>
      </c>
      <c r="D82" s="5">
        <v>35</v>
      </c>
      <c r="E82" s="5">
        <v>10</v>
      </c>
      <c r="F82" s="7">
        <v>1.1831847836263689</v>
      </c>
      <c r="G82" s="6">
        <f>0.3+0.0958</f>
        <v>0.39579999999999999</v>
      </c>
      <c r="H82" s="9">
        <f t="shared" si="1"/>
        <v>0.78738478362636899</v>
      </c>
    </row>
    <row r="83" spans="1:8">
      <c r="A83" s="5">
        <v>81</v>
      </c>
      <c r="B83" s="6" t="s">
        <v>129</v>
      </c>
      <c r="C83" s="5">
        <v>0.9</v>
      </c>
      <c r="D83" s="5">
        <v>35</v>
      </c>
      <c r="E83" s="5">
        <v>10</v>
      </c>
      <c r="F83" s="7">
        <v>2.7853000000000003</v>
      </c>
      <c r="G83" s="6">
        <v>0</v>
      </c>
      <c r="H83" s="9">
        <f t="shared" si="1"/>
        <v>2.7853000000000003</v>
      </c>
    </row>
    <row r="84" spans="1:8">
      <c r="A84" s="5">
        <v>82</v>
      </c>
      <c r="B84" s="6" t="s">
        <v>130</v>
      </c>
      <c r="C84" s="5">
        <v>2.6</v>
      </c>
      <c r="D84" s="5">
        <v>35</v>
      </c>
      <c r="E84" s="5">
        <v>10</v>
      </c>
      <c r="F84" s="7">
        <v>2.193442560415038</v>
      </c>
      <c r="G84" s="6">
        <v>0.01</v>
      </c>
      <c r="H84" s="9">
        <f t="shared" si="1"/>
        <v>2.1834425604150383</v>
      </c>
    </row>
    <row r="85" spans="1:8">
      <c r="A85" s="5">
        <v>83</v>
      </c>
      <c r="B85" s="6" t="s">
        <v>131</v>
      </c>
      <c r="C85" s="5">
        <v>48.9</v>
      </c>
      <c r="D85" s="5">
        <v>35</v>
      </c>
      <c r="E85" s="5">
        <v>10</v>
      </c>
      <c r="F85" s="7">
        <v>0.1166247578134785</v>
      </c>
      <c r="G85" s="6">
        <v>0.01</v>
      </c>
      <c r="H85" s="9">
        <f t="shared" si="1"/>
        <v>0.10662475781347851</v>
      </c>
    </row>
    <row r="86" spans="1:8">
      <c r="A86" s="5">
        <v>84</v>
      </c>
      <c r="B86" s="6" t="s">
        <v>132</v>
      </c>
      <c r="C86" s="5">
        <v>3.2</v>
      </c>
      <c r="D86" s="5">
        <v>35</v>
      </c>
      <c r="E86" s="5">
        <v>10</v>
      </c>
      <c r="F86" s="7">
        <v>1.7821720803372179</v>
      </c>
      <c r="G86" s="6">
        <v>0.05</v>
      </c>
      <c r="H86" s="9">
        <f t="shared" si="1"/>
        <v>1.7321720803372178</v>
      </c>
    </row>
    <row r="87" spans="1:8">
      <c r="A87" s="5">
        <v>85</v>
      </c>
      <c r="B87" s="6" t="s">
        <v>133</v>
      </c>
      <c r="C87" s="5">
        <v>1.7</v>
      </c>
      <c r="D87" s="5">
        <v>35</v>
      </c>
      <c r="E87" s="5">
        <v>10</v>
      </c>
      <c r="F87" s="7">
        <v>2.7853000000000003</v>
      </c>
      <c r="G87" s="6">
        <f>0.09+0.0025</f>
        <v>9.2499999999999999E-2</v>
      </c>
      <c r="H87" s="9">
        <f t="shared" si="1"/>
        <v>2.6928000000000005</v>
      </c>
    </row>
    <row r="88" spans="1:8">
      <c r="A88" s="5">
        <v>86</v>
      </c>
      <c r="B88" s="6" t="s">
        <v>134</v>
      </c>
      <c r="C88" s="5">
        <v>3.7</v>
      </c>
      <c r="D88" s="5">
        <v>35</v>
      </c>
      <c r="E88" s="5">
        <v>10</v>
      </c>
      <c r="F88" s="7">
        <v>1.5413380154267831</v>
      </c>
      <c r="G88" s="6">
        <v>0</v>
      </c>
      <c r="H88" s="9">
        <f t="shared" si="1"/>
        <v>1.5413380154267831</v>
      </c>
    </row>
    <row r="89" spans="1:8">
      <c r="A89" s="5">
        <v>87</v>
      </c>
      <c r="B89" s="6" t="s">
        <v>135</v>
      </c>
      <c r="C89" s="5">
        <v>13.5</v>
      </c>
      <c r="D89" s="5">
        <v>35</v>
      </c>
      <c r="E89" s="5">
        <v>10</v>
      </c>
      <c r="F89" s="7">
        <v>0.42244078941326646</v>
      </c>
      <c r="G89" s="6">
        <v>0.02</v>
      </c>
      <c r="H89" s="9">
        <f t="shared" si="1"/>
        <v>0.40244078941326644</v>
      </c>
    </row>
    <row r="90" spans="1:8">
      <c r="A90" s="5">
        <v>88</v>
      </c>
      <c r="B90" s="6" t="s">
        <v>136</v>
      </c>
      <c r="C90" s="5">
        <v>2.2000000000000002</v>
      </c>
      <c r="D90" s="5">
        <v>35</v>
      </c>
      <c r="E90" s="5">
        <v>10</v>
      </c>
      <c r="F90" s="7">
        <v>2.592250298672317</v>
      </c>
      <c r="G90" s="6">
        <f>0.02+0.0105</f>
        <v>3.0499999999999999E-2</v>
      </c>
      <c r="H90" s="9">
        <f t="shared" si="1"/>
        <v>2.5617502986723171</v>
      </c>
    </row>
    <row r="91" spans="1:8">
      <c r="A91" s="5">
        <v>89</v>
      </c>
      <c r="B91" s="6" t="s">
        <v>137</v>
      </c>
      <c r="C91" s="5">
        <v>0.6</v>
      </c>
      <c r="D91" s="5">
        <v>50</v>
      </c>
      <c r="E91" s="5">
        <v>10</v>
      </c>
      <c r="F91" s="7">
        <v>3.3423600000000007</v>
      </c>
      <c r="G91" s="6">
        <v>5.7400000000000003E-3</v>
      </c>
      <c r="H91" s="9">
        <f t="shared" si="1"/>
        <v>3.3366200000000008</v>
      </c>
    </row>
    <row r="92" spans="1:8">
      <c r="A92" s="5">
        <v>90</v>
      </c>
      <c r="B92" s="6" t="s">
        <v>138</v>
      </c>
      <c r="C92" s="5">
        <v>10.3</v>
      </c>
      <c r="D92" s="5">
        <v>35</v>
      </c>
      <c r="E92" s="5">
        <v>10</v>
      </c>
      <c r="F92" s="7">
        <v>0.55368452981350469</v>
      </c>
      <c r="G92" s="6">
        <v>0</v>
      </c>
      <c r="H92" s="9">
        <f t="shared" si="1"/>
        <v>0.55368452981350469</v>
      </c>
    </row>
    <row r="93" spans="1:8">
      <c r="A93" s="5">
        <v>91</v>
      </c>
      <c r="B93" s="6" t="s">
        <v>139</v>
      </c>
      <c r="C93" s="5">
        <v>2.1</v>
      </c>
      <c r="D93" s="5">
        <v>35</v>
      </c>
      <c r="E93" s="5">
        <v>10</v>
      </c>
      <c r="F93" s="7">
        <v>2.7156907890852851</v>
      </c>
      <c r="G93" s="6">
        <f>0.04+0.0025</f>
        <v>4.2500000000000003E-2</v>
      </c>
      <c r="H93" s="9">
        <f t="shared" si="1"/>
        <v>2.6731907890852851</v>
      </c>
    </row>
    <row r="94" spans="1:8">
      <c r="A94" s="5">
        <v>92</v>
      </c>
      <c r="B94" s="6" t="s">
        <v>140</v>
      </c>
      <c r="C94" s="5">
        <v>2.4</v>
      </c>
      <c r="D94" s="5">
        <v>35</v>
      </c>
      <c r="E94" s="5">
        <v>10</v>
      </c>
      <c r="F94" s="7">
        <v>2.3762294404496247</v>
      </c>
      <c r="G94" s="6">
        <v>0.02</v>
      </c>
      <c r="H94" s="9">
        <f t="shared" si="1"/>
        <v>2.3562294404496247</v>
      </c>
    </row>
    <row r="95" spans="1:8">
      <c r="A95" s="5">
        <v>93</v>
      </c>
      <c r="B95" s="6" t="s">
        <v>141</v>
      </c>
      <c r="C95" s="5">
        <v>0.8</v>
      </c>
      <c r="D95" s="5">
        <v>35</v>
      </c>
      <c r="E95" s="5">
        <v>10</v>
      </c>
      <c r="F95" s="7">
        <v>2.7853000000000003</v>
      </c>
      <c r="G95" s="6">
        <v>0.02</v>
      </c>
      <c r="H95" s="9">
        <f t="shared" si="1"/>
        <v>2.7653000000000003</v>
      </c>
    </row>
    <row r="96" spans="1:8">
      <c r="A96" s="5">
        <v>94</v>
      </c>
      <c r="B96" s="6" t="s">
        <v>142</v>
      </c>
      <c r="C96" s="5">
        <v>13</v>
      </c>
      <c r="D96" s="5">
        <v>70</v>
      </c>
      <c r="E96" s="5">
        <v>10</v>
      </c>
      <c r="F96" s="7">
        <v>0.77922517913709288</v>
      </c>
      <c r="G96" s="6">
        <v>0</v>
      </c>
      <c r="H96" s="9">
        <f t="shared" si="1"/>
        <v>0.77922517913709288</v>
      </c>
    </row>
    <row r="97" spans="1:8">
      <c r="A97" s="5">
        <v>95</v>
      </c>
      <c r="B97" s="6" t="s">
        <v>143</v>
      </c>
      <c r="C97" s="5">
        <v>3.8</v>
      </c>
      <c r="D97" s="5">
        <v>35</v>
      </c>
      <c r="E97" s="5">
        <v>10</v>
      </c>
      <c r="F97" s="7">
        <v>1.5007764887050257</v>
      </c>
      <c r="G97" s="6">
        <f>0.02+0.0025</f>
        <v>2.2499999999999999E-2</v>
      </c>
      <c r="H97" s="9">
        <f t="shared" si="1"/>
        <v>1.4782764887050257</v>
      </c>
    </row>
    <row r="98" spans="1:8">
      <c r="A98" s="5">
        <v>96</v>
      </c>
      <c r="B98" s="6" t="s">
        <v>144</v>
      </c>
      <c r="C98" s="5">
        <v>0.9</v>
      </c>
      <c r="D98" s="5">
        <v>35</v>
      </c>
      <c r="E98" s="5">
        <v>10</v>
      </c>
      <c r="F98" s="7">
        <v>2.7853000000000003</v>
      </c>
      <c r="G98" s="6">
        <v>0.09</v>
      </c>
      <c r="H98" s="9">
        <f t="shared" si="1"/>
        <v>2.6953000000000005</v>
      </c>
    </row>
    <row r="99" spans="1:8">
      <c r="A99" s="5">
        <v>97</v>
      </c>
      <c r="B99" s="6" t="s">
        <v>145</v>
      </c>
      <c r="C99" s="5">
        <v>0.6</v>
      </c>
      <c r="D99" s="5">
        <v>70</v>
      </c>
      <c r="E99" s="5">
        <v>10</v>
      </c>
      <c r="F99" s="7">
        <v>4.2177400000000009</v>
      </c>
      <c r="G99" s="6">
        <v>0</v>
      </c>
      <c r="H99" s="9">
        <f t="shared" si="1"/>
        <v>4.2177400000000009</v>
      </c>
    </row>
    <row r="100" spans="1:8">
      <c r="A100" s="5">
        <v>98</v>
      </c>
      <c r="B100" s="6" t="s">
        <v>146</v>
      </c>
      <c r="C100" s="5">
        <v>2.2999999999999998</v>
      </c>
      <c r="D100" s="5">
        <v>35</v>
      </c>
      <c r="E100" s="5">
        <v>10</v>
      </c>
      <c r="F100" s="7">
        <v>2.4795437639474338</v>
      </c>
      <c r="G100" s="6">
        <v>0</v>
      </c>
      <c r="H100" s="9">
        <f t="shared" si="1"/>
        <v>2.4795437639474338</v>
      </c>
    </row>
    <row r="101" spans="1:8">
      <c r="A101" s="5">
        <v>99</v>
      </c>
      <c r="B101" s="6" t="s">
        <v>147</v>
      </c>
      <c r="C101" s="5">
        <v>3.4</v>
      </c>
      <c r="D101" s="5">
        <v>25</v>
      </c>
      <c r="E101" s="5">
        <v>10</v>
      </c>
      <c r="F101" s="7">
        <v>1.1391270324750262</v>
      </c>
      <c r="G101" s="10">
        <f>0.07+0.0054+0.04504</f>
        <v>0.12044000000000001</v>
      </c>
      <c r="H101" s="9">
        <f t="shared" si="1"/>
        <v>1.0186870324750261</v>
      </c>
    </row>
    <row r="102" spans="1:8">
      <c r="A102" s="5">
        <v>100</v>
      </c>
      <c r="B102" s="6" t="s">
        <v>148</v>
      </c>
      <c r="C102" s="5">
        <v>1.2</v>
      </c>
      <c r="D102" s="5">
        <v>35</v>
      </c>
      <c r="E102" s="5">
        <v>10</v>
      </c>
      <c r="F102" s="7">
        <v>2.7853000000000003</v>
      </c>
      <c r="G102" s="6">
        <v>0.03</v>
      </c>
      <c r="H102" s="9">
        <f t="shared" si="1"/>
        <v>2.7553000000000005</v>
      </c>
    </row>
    <row r="103" spans="1:8">
      <c r="A103" s="5">
        <v>101</v>
      </c>
      <c r="B103" s="6" t="s">
        <v>149</v>
      </c>
      <c r="C103" s="5">
        <v>4.2</v>
      </c>
      <c r="D103" s="5">
        <v>35</v>
      </c>
      <c r="E103" s="5">
        <v>10</v>
      </c>
      <c r="F103" s="7">
        <v>1.3578453945426425</v>
      </c>
      <c r="G103" s="6">
        <v>0.02</v>
      </c>
      <c r="H103" s="9">
        <f t="shared" si="1"/>
        <v>1.3378453945426425</v>
      </c>
    </row>
    <row r="104" spans="1:8">
      <c r="A104" s="5">
        <v>102</v>
      </c>
      <c r="B104" s="6" t="s">
        <v>150</v>
      </c>
      <c r="C104" s="5">
        <v>13.2</v>
      </c>
      <c r="D104" s="5">
        <v>35</v>
      </c>
      <c r="E104" s="5">
        <v>10</v>
      </c>
      <c r="F104" s="7">
        <v>0.43204171644538625</v>
      </c>
      <c r="G104" s="6">
        <v>0</v>
      </c>
      <c r="H104" s="9">
        <f t="shared" si="1"/>
        <v>0.43204171644538625</v>
      </c>
    </row>
    <row r="105" spans="1:8">
      <c r="A105" s="5">
        <v>103</v>
      </c>
      <c r="B105" s="6" t="s">
        <v>151</v>
      </c>
      <c r="C105" s="5">
        <v>4.2</v>
      </c>
      <c r="D105" s="5">
        <v>35</v>
      </c>
      <c r="E105" s="5">
        <v>10</v>
      </c>
      <c r="F105" s="7">
        <v>1.3578453945426425</v>
      </c>
      <c r="G105" s="6">
        <v>7.0000000000000007E-2</v>
      </c>
      <c r="H105" s="9">
        <f t="shared" si="1"/>
        <v>1.2878453945426425</v>
      </c>
    </row>
    <row r="106" spans="1:8">
      <c r="A106" s="5">
        <v>104</v>
      </c>
      <c r="B106" s="6" t="s">
        <v>152</v>
      </c>
      <c r="C106" s="5">
        <v>0.08</v>
      </c>
      <c r="D106" s="5">
        <v>35</v>
      </c>
      <c r="E106" s="5">
        <v>10</v>
      </c>
      <c r="F106" s="7">
        <v>2.7853000000000003</v>
      </c>
      <c r="G106" s="6">
        <v>0</v>
      </c>
      <c r="H106" s="9">
        <f t="shared" si="1"/>
        <v>2.7853000000000003</v>
      </c>
    </row>
    <row r="107" spans="1:8">
      <c r="A107" s="5">
        <v>105</v>
      </c>
      <c r="B107" s="6" t="s">
        <v>153</v>
      </c>
      <c r="C107" s="5">
        <v>13.8</v>
      </c>
      <c r="D107" s="5">
        <v>35</v>
      </c>
      <c r="E107" s="5">
        <v>10</v>
      </c>
      <c r="F107" s="7">
        <v>0.41325729399123895</v>
      </c>
      <c r="G107" s="6">
        <v>0.05</v>
      </c>
      <c r="H107" s="9">
        <f t="shared" si="1"/>
        <v>0.36325729399123896</v>
      </c>
    </row>
    <row r="108" spans="1:8">
      <c r="A108" s="5">
        <v>106</v>
      </c>
      <c r="B108" s="6" t="s">
        <v>154</v>
      </c>
      <c r="C108" s="5">
        <v>1.75</v>
      </c>
      <c r="D108" s="5">
        <v>35</v>
      </c>
      <c r="E108" s="5">
        <v>10</v>
      </c>
      <c r="F108" s="7">
        <v>2.7853000000000003</v>
      </c>
      <c r="G108" s="6">
        <v>0.02</v>
      </c>
      <c r="H108" s="9">
        <f t="shared" si="1"/>
        <v>2.7653000000000003</v>
      </c>
    </row>
    <row r="109" spans="1:8">
      <c r="A109" s="5">
        <v>107</v>
      </c>
      <c r="B109" s="6" t="s">
        <v>155</v>
      </c>
      <c r="C109" s="5">
        <v>3.49</v>
      </c>
      <c r="D109" s="5">
        <v>35</v>
      </c>
      <c r="E109" s="5">
        <v>10</v>
      </c>
      <c r="F109" s="7">
        <v>1.634083282830687</v>
      </c>
      <c r="G109" s="6">
        <v>0</v>
      </c>
      <c r="H109" s="9">
        <f t="shared" si="1"/>
        <v>1.634083282830687</v>
      </c>
    </row>
  </sheetData>
  <mergeCells count="2">
    <mergeCell ref="A2:H2"/>
    <mergeCell ref="I15:I18"/>
  </mergeCells>
  <pageMargins left="0.7" right="0.7" top="0.75" bottom="0.75" header="0.3" footer="0.3"/>
  <pageSetup paperSize="9" scale="7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zoomScale="130" zoomScaleNormal="100" zoomScaleSheetLayoutView="130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E48" sqref="E48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</row>
    <row r="2" spans="1:9">
      <c r="A2" s="16" t="s">
        <v>156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157</v>
      </c>
      <c r="C3" s="5">
        <v>8.5</v>
      </c>
      <c r="D3" s="5">
        <v>35</v>
      </c>
      <c r="E3" s="5">
        <v>10</v>
      </c>
      <c r="F3" s="7">
        <v>0.6709353714210704</v>
      </c>
      <c r="G3" s="6">
        <v>0</v>
      </c>
      <c r="H3" s="9">
        <f>F3-G3</f>
        <v>0.6709353714210704</v>
      </c>
    </row>
    <row r="4" spans="1:9">
      <c r="A4" s="5">
        <v>2</v>
      </c>
      <c r="B4" s="6" t="s">
        <v>158</v>
      </c>
      <c r="C4" s="5">
        <v>0.54</v>
      </c>
      <c r="D4" s="5">
        <v>35</v>
      </c>
      <c r="E4" s="5">
        <v>10</v>
      </c>
      <c r="F4" s="7">
        <v>2.7853000000000003</v>
      </c>
      <c r="G4" s="6">
        <v>0.03</v>
      </c>
      <c r="H4" s="9">
        <f t="shared" ref="H4:H63" si="0">F4-G4</f>
        <v>2.7553000000000005</v>
      </c>
    </row>
    <row r="5" spans="1:9">
      <c r="A5" s="5">
        <v>3</v>
      </c>
      <c r="B5" s="6" t="s">
        <v>159</v>
      </c>
      <c r="C5" s="5">
        <v>0.9</v>
      </c>
      <c r="D5" s="5">
        <v>35</v>
      </c>
      <c r="E5" s="5">
        <v>10</v>
      </c>
      <c r="F5" s="7">
        <v>2.7853000000000003</v>
      </c>
      <c r="G5" s="6">
        <v>0</v>
      </c>
      <c r="H5" s="9">
        <f t="shared" si="0"/>
        <v>2.7853000000000003</v>
      </c>
    </row>
    <row r="6" spans="1:9">
      <c r="A6" s="5">
        <v>4</v>
      </c>
      <c r="B6" s="6" t="s">
        <v>160</v>
      </c>
      <c r="C6" s="5">
        <v>3.75</v>
      </c>
      <c r="D6" s="5">
        <v>50</v>
      </c>
      <c r="E6" s="5">
        <v>10</v>
      </c>
      <c r="F6" s="7">
        <v>1.9610977884359186</v>
      </c>
      <c r="G6" s="6">
        <f>0.19+0.01+0.01+0.01+0.01</f>
        <v>0.23000000000000004</v>
      </c>
      <c r="H6" s="9">
        <f t="shared" si="0"/>
        <v>1.7310977884359187</v>
      </c>
    </row>
    <row r="7" spans="1:9">
      <c r="A7" s="5">
        <v>5</v>
      </c>
      <c r="B7" s="6" t="s">
        <v>161</v>
      </c>
      <c r="C7" s="5">
        <v>4.4000000000000004</v>
      </c>
      <c r="D7" s="5">
        <v>35</v>
      </c>
      <c r="E7" s="5">
        <v>10</v>
      </c>
      <c r="F7" s="7">
        <v>1.2961251493361585</v>
      </c>
      <c r="G7" s="6">
        <v>0</v>
      </c>
      <c r="H7" s="9">
        <f t="shared" si="0"/>
        <v>1.2961251493361585</v>
      </c>
    </row>
    <row r="8" spans="1:9">
      <c r="A8" s="5">
        <v>6</v>
      </c>
      <c r="B8" s="6" t="s">
        <v>162</v>
      </c>
      <c r="C8" s="5">
        <v>10.36</v>
      </c>
      <c r="D8" s="5">
        <v>50</v>
      </c>
      <c r="E8" s="5">
        <v>10</v>
      </c>
      <c r="F8" s="7">
        <v>0.7098568249647389</v>
      </c>
      <c r="G8" s="6">
        <v>0</v>
      </c>
      <c r="H8" s="9">
        <f t="shared" si="0"/>
        <v>0.7098568249647389</v>
      </c>
    </row>
    <row r="9" spans="1:9">
      <c r="A9" s="5">
        <v>7</v>
      </c>
      <c r="B9" s="6" t="s">
        <v>163</v>
      </c>
      <c r="C9" s="5">
        <v>2</v>
      </c>
      <c r="D9" s="5">
        <v>35</v>
      </c>
      <c r="E9" s="5">
        <v>10</v>
      </c>
      <c r="F9" s="7">
        <v>2.7853000000000003</v>
      </c>
      <c r="G9" s="6">
        <v>0.14000000000000001</v>
      </c>
      <c r="H9" s="9">
        <f t="shared" si="0"/>
        <v>2.6453000000000002</v>
      </c>
    </row>
    <row r="10" spans="1:9">
      <c r="A10" s="5">
        <v>8</v>
      </c>
      <c r="B10" s="6" t="s">
        <v>164</v>
      </c>
      <c r="C10" s="5">
        <v>25</v>
      </c>
      <c r="D10" s="5">
        <v>35</v>
      </c>
      <c r="E10" s="5">
        <v>10</v>
      </c>
      <c r="F10" s="7">
        <v>0.22811802628316394</v>
      </c>
      <c r="G10" s="6">
        <f>0.01+0.01</f>
        <v>0.02</v>
      </c>
      <c r="H10" s="9">
        <f t="shared" si="0"/>
        <v>0.20811802628316395</v>
      </c>
    </row>
    <row r="11" spans="1:9">
      <c r="A11" s="5">
        <v>9</v>
      </c>
      <c r="B11" s="6" t="s">
        <v>165</v>
      </c>
      <c r="C11" s="5">
        <v>8.4</v>
      </c>
      <c r="D11" s="5">
        <v>50</v>
      </c>
      <c r="E11" s="5">
        <v>10</v>
      </c>
      <c r="F11" s="7">
        <v>0.87549008412317786</v>
      </c>
      <c r="G11" s="6">
        <f>0.64+0.01+0.001+0.01</f>
        <v>0.66100000000000003</v>
      </c>
      <c r="H11" s="9">
        <f t="shared" si="0"/>
        <v>0.21449008412317783</v>
      </c>
    </row>
    <row r="12" spans="1:9">
      <c r="A12" s="5">
        <v>10</v>
      </c>
      <c r="B12" s="6" t="s">
        <v>166</v>
      </c>
      <c r="C12" s="5">
        <v>8.9</v>
      </c>
      <c r="D12" s="5">
        <v>35</v>
      </c>
      <c r="E12" s="5">
        <v>10</v>
      </c>
      <c r="F12" s="7">
        <v>0.64078097270551659</v>
      </c>
      <c r="G12" s="6">
        <f>0.41+0.099</f>
        <v>0.50900000000000001</v>
      </c>
      <c r="H12" s="9">
        <f t="shared" si="0"/>
        <v>0.13178097270551659</v>
      </c>
    </row>
    <row r="13" spans="1:9">
      <c r="A13" s="5">
        <v>11</v>
      </c>
      <c r="B13" s="6" t="s">
        <v>167</v>
      </c>
      <c r="C13" s="5">
        <v>0.6</v>
      </c>
      <c r="D13" s="5">
        <v>50</v>
      </c>
      <c r="E13" s="5">
        <v>10</v>
      </c>
      <c r="F13" s="7">
        <v>3.3423600000000007</v>
      </c>
      <c r="G13" s="6">
        <v>0</v>
      </c>
      <c r="H13" s="9">
        <f t="shared" si="0"/>
        <v>3.3423600000000007</v>
      </c>
    </row>
    <row r="14" spans="1:9">
      <c r="A14" s="5">
        <v>12</v>
      </c>
      <c r="B14" s="6" t="s">
        <v>168</v>
      </c>
      <c r="C14" s="5">
        <v>0.4</v>
      </c>
      <c r="D14" s="5">
        <v>70</v>
      </c>
      <c r="E14" s="5">
        <v>10</v>
      </c>
      <c r="F14" s="7">
        <v>4.2177400000000009</v>
      </c>
      <c r="G14" s="6">
        <v>0</v>
      </c>
      <c r="H14" s="9">
        <f t="shared" si="0"/>
        <v>4.2177400000000009</v>
      </c>
    </row>
    <row r="15" spans="1:9">
      <c r="A15" s="5">
        <v>13</v>
      </c>
      <c r="B15" s="6" t="s">
        <v>169</v>
      </c>
      <c r="C15" s="5">
        <v>7.3</v>
      </c>
      <c r="D15" s="5">
        <v>35</v>
      </c>
      <c r="E15" s="5">
        <v>10</v>
      </c>
      <c r="F15" s="7">
        <v>0.78122611740809567</v>
      </c>
      <c r="G15" s="6">
        <v>0</v>
      </c>
      <c r="H15" s="9">
        <f t="shared" si="0"/>
        <v>0.78122611740809567</v>
      </c>
    </row>
    <row r="16" spans="1:9">
      <c r="A16" s="5">
        <v>14</v>
      </c>
      <c r="B16" s="6" t="s">
        <v>170</v>
      </c>
      <c r="C16" s="5">
        <v>3.8</v>
      </c>
      <c r="D16" s="5">
        <v>50</v>
      </c>
      <c r="E16" s="5">
        <v>10</v>
      </c>
      <c r="F16" s="7">
        <v>1.9352938701670246</v>
      </c>
      <c r="G16" s="6">
        <v>0.02</v>
      </c>
      <c r="H16" s="9">
        <f t="shared" si="0"/>
        <v>1.9152938701670246</v>
      </c>
    </row>
    <row r="17" spans="1:8">
      <c r="A17" s="5">
        <v>15</v>
      </c>
      <c r="B17" s="6" t="s">
        <v>171</v>
      </c>
      <c r="C17" s="5">
        <v>1.1000000000000001</v>
      </c>
      <c r="D17" s="5">
        <v>50</v>
      </c>
      <c r="E17" s="5">
        <v>10</v>
      </c>
      <c r="F17" s="7">
        <v>3.3423600000000007</v>
      </c>
      <c r="G17" s="6">
        <f>0.02+0.0105</f>
        <v>3.0499999999999999E-2</v>
      </c>
      <c r="H17" s="9">
        <f t="shared" si="0"/>
        <v>3.3118600000000007</v>
      </c>
    </row>
    <row r="18" spans="1:8">
      <c r="A18" s="5">
        <v>16</v>
      </c>
      <c r="B18" s="6" t="s">
        <v>172</v>
      </c>
      <c r="C18" s="5">
        <v>2.87</v>
      </c>
      <c r="D18" s="5">
        <v>35</v>
      </c>
      <c r="E18" s="5">
        <v>10</v>
      </c>
      <c r="F18" s="7">
        <v>1.9870908212819154</v>
      </c>
      <c r="G18" s="6">
        <f>0.05+0.01</f>
        <v>6.0000000000000005E-2</v>
      </c>
      <c r="H18" s="9">
        <f t="shared" si="0"/>
        <v>1.9270908212819153</v>
      </c>
    </row>
    <row r="19" spans="1:8">
      <c r="A19" s="5">
        <v>17</v>
      </c>
      <c r="B19" s="6" t="s">
        <v>173</v>
      </c>
      <c r="C19" s="5">
        <v>4.9000000000000004</v>
      </c>
      <c r="D19" s="5">
        <v>35</v>
      </c>
      <c r="E19" s="5">
        <v>10</v>
      </c>
      <c r="F19" s="7">
        <v>1.1638674810365506</v>
      </c>
      <c r="G19" s="6">
        <v>0.02</v>
      </c>
      <c r="H19" s="9">
        <f t="shared" si="0"/>
        <v>1.1438674810365506</v>
      </c>
    </row>
    <row r="20" spans="1:8">
      <c r="A20" s="5">
        <v>18</v>
      </c>
      <c r="B20" s="6" t="s">
        <v>174</v>
      </c>
      <c r="C20" s="5">
        <v>2.0299999999999998</v>
      </c>
      <c r="D20" s="5">
        <v>35</v>
      </c>
      <c r="E20" s="5">
        <v>10</v>
      </c>
      <c r="F20" s="7">
        <v>2.7853000000000003</v>
      </c>
      <c r="G20" s="6">
        <v>0.02</v>
      </c>
      <c r="H20" s="9">
        <f t="shared" si="0"/>
        <v>2.7653000000000003</v>
      </c>
    </row>
    <row r="21" spans="1:8">
      <c r="A21" s="5">
        <v>19</v>
      </c>
      <c r="B21" s="6" t="s">
        <v>175</v>
      </c>
      <c r="C21" s="5">
        <v>19</v>
      </c>
      <c r="D21" s="5">
        <v>35</v>
      </c>
      <c r="E21" s="5">
        <v>10</v>
      </c>
      <c r="F21" s="7">
        <v>0.30015529774100513</v>
      </c>
      <c r="G21" s="6">
        <v>0.13</v>
      </c>
      <c r="H21" s="9">
        <f t="shared" si="0"/>
        <v>0.17015529774100513</v>
      </c>
    </row>
    <row r="22" spans="1:8">
      <c r="A22" s="5">
        <v>20</v>
      </c>
      <c r="B22" s="6" t="s">
        <v>176</v>
      </c>
      <c r="C22" s="5">
        <v>3.9</v>
      </c>
      <c r="D22" s="5">
        <v>35</v>
      </c>
      <c r="E22" s="5">
        <v>10</v>
      </c>
      <c r="F22" s="7">
        <v>1.4622950402766917</v>
      </c>
      <c r="G22" s="6">
        <f>0.13+0.01</f>
        <v>0.14000000000000001</v>
      </c>
      <c r="H22" s="9">
        <f t="shared" si="0"/>
        <v>1.3222950402766918</v>
      </c>
    </row>
    <row r="23" spans="1:8">
      <c r="A23" s="5">
        <v>21</v>
      </c>
      <c r="B23" s="6" t="s">
        <v>1001</v>
      </c>
      <c r="C23" s="5">
        <v>13.03</v>
      </c>
      <c r="D23" s="5">
        <v>50</v>
      </c>
      <c r="E23" s="5">
        <v>6</v>
      </c>
      <c r="F23" s="7">
        <v>0.33863929577749929</v>
      </c>
      <c r="G23" s="6">
        <f>0.2+0.0228</f>
        <v>0.2228</v>
      </c>
      <c r="H23" s="9">
        <f t="shared" si="0"/>
        <v>0.1158392957774993</v>
      </c>
    </row>
    <row r="24" spans="1:8">
      <c r="A24" s="5">
        <v>22</v>
      </c>
      <c r="B24" s="6" t="s">
        <v>177</v>
      </c>
      <c r="C24" s="5">
        <v>8.6</v>
      </c>
      <c r="D24" s="5">
        <v>35</v>
      </c>
      <c r="E24" s="5">
        <v>10</v>
      </c>
      <c r="F24" s="7">
        <v>0.66313379733477895</v>
      </c>
      <c r="G24" s="6">
        <f>0.42+0.01+0.01+0.015</f>
        <v>0.45500000000000002</v>
      </c>
      <c r="H24" s="9">
        <f t="shared" si="0"/>
        <v>0.20813379733477894</v>
      </c>
    </row>
    <row r="25" spans="1:8">
      <c r="A25" s="5">
        <v>23</v>
      </c>
      <c r="B25" s="6" t="s">
        <v>178</v>
      </c>
      <c r="C25" s="5">
        <v>7</v>
      </c>
      <c r="D25" s="5">
        <v>50</v>
      </c>
      <c r="E25" s="5">
        <v>10</v>
      </c>
      <c r="F25" s="7">
        <v>1.0505881009478135</v>
      </c>
      <c r="G25" s="6">
        <v>0.03</v>
      </c>
      <c r="H25" s="9">
        <f t="shared" si="0"/>
        <v>1.0205881009478135</v>
      </c>
    </row>
    <row r="26" spans="1:8">
      <c r="A26" s="5">
        <v>24</v>
      </c>
      <c r="B26" s="6" t="s">
        <v>179</v>
      </c>
      <c r="C26" s="5">
        <v>0.9</v>
      </c>
      <c r="D26" s="5">
        <v>35</v>
      </c>
      <c r="E26" s="5">
        <v>10</v>
      </c>
      <c r="F26" s="7">
        <v>2.7853000000000003</v>
      </c>
      <c r="G26" s="6">
        <v>0.02</v>
      </c>
      <c r="H26" s="9">
        <f t="shared" si="0"/>
        <v>2.7653000000000003</v>
      </c>
    </row>
    <row r="27" spans="1:8">
      <c r="A27" s="5">
        <v>25</v>
      </c>
      <c r="B27" s="6" t="s">
        <v>180</v>
      </c>
      <c r="C27" s="5">
        <v>3.51</v>
      </c>
      <c r="D27" s="5">
        <v>35</v>
      </c>
      <c r="E27" s="5">
        <v>10</v>
      </c>
      <c r="F27" s="7">
        <v>1.6247722669741023</v>
      </c>
      <c r="G27" s="6">
        <f>0.25+0.01+0.0928</f>
        <v>0.3528</v>
      </c>
      <c r="H27" s="9">
        <f t="shared" si="0"/>
        <v>1.2719722669741023</v>
      </c>
    </row>
    <row r="28" spans="1:8">
      <c r="A28" s="5">
        <v>26</v>
      </c>
      <c r="B28" s="6" t="s">
        <v>181</v>
      </c>
      <c r="C28" s="5">
        <v>0.05</v>
      </c>
      <c r="D28" s="5">
        <v>50</v>
      </c>
      <c r="E28" s="5">
        <v>10</v>
      </c>
      <c r="F28" s="7">
        <v>3.3423600000000007</v>
      </c>
      <c r="G28" s="6">
        <v>0</v>
      </c>
      <c r="H28" s="9">
        <f t="shared" si="0"/>
        <v>3.3423600000000007</v>
      </c>
    </row>
    <row r="29" spans="1:8">
      <c r="A29" s="5">
        <v>27</v>
      </c>
      <c r="B29" s="6" t="s">
        <v>182</v>
      </c>
      <c r="C29" s="5">
        <v>0.05</v>
      </c>
      <c r="D29" s="5">
        <v>50</v>
      </c>
      <c r="E29" s="5">
        <v>10</v>
      </c>
      <c r="F29" s="7">
        <v>3.3423600000000007</v>
      </c>
      <c r="G29" s="6">
        <v>0.02</v>
      </c>
      <c r="H29" s="9">
        <f t="shared" si="0"/>
        <v>3.3223600000000006</v>
      </c>
    </row>
    <row r="30" spans="1:8">
      <c r="A30" s="5">
        <v>28</v>
      </c>
      <c r="B30" s="6" t="s">
        <v>183</v>
      </c>
      <c r="C30" s="5">
        <v>0.01</v>
      </c>
      <c r="D30" s="5">
        <v>50</v>
      </c>
      <c r="E30" s="5">
        <v>10</v>
      </c>
      <c r="F30" s="7">
        <v>3.3423600000000007</v>
      </c>
      <c r="G30" s="6">
        <v>0</v>
      </c>
      <c r="H30" s="9">
        <f t="shared" si="0"/>
        <v>3.3423600000000007</v>
      </c>
    </row>
    <row r="31" spans="1:8">
      <c r="A31" s="5">
        <v>29</v>
      </c>
      <c r="B31" s="6" t="s">
        <v>184</v>
      </c>
      <c r="C31" s="5">
        <v>14.6</v>
      </c>
      <c r="D31" s="5">
        <v>35</v>
      </c>
      <c r="E31" s="5">
        <v>10</v>
      </c>
      <c r="F31" s="7">
        <v>0.39061305870404783</v>
      </c>
      <c r="G31" s="6">
        <v>0.04</v>
      </c>
      <c r="H31" s="9">
        <f t="shared" si="0"/>
        <v>0.35061305870404785</v>
      </c>
    </row>
    <row r="32" spans="1:8">
      <c r="A32" s="5">
        <v>30</v>
      </c>
      <c r="B32" s="6" t="s">
        <v>185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0</v>
      </c>
      <c r="H32" s="9">
        <f t="shared" si="0"/>
        <v>2.7853000000000003</v>
      </c>
    </row>
    <row r="33" spans="1:9">
      <c r="A33" s="5">
        <v>31</v>
      </c>
      <c r="B33" s="6" t="s">
        <v>186</v>
      </c>
      <c r="C33" s="5">
        <v>17.8</v>
      </c>
      <c r="D33" s="5">
        <v>35</v>
      </c>
      <c r="E33" s="5">
        <v>10</v>
      </c>
      <c r="F33" s="7">
        <v>0.3203904863527583</v>
      </c>
      <c r="G33" s="6">
        <v>0</v>
      </c>
      <c r="H33" s="9">
        <f t="shared" si="0"/>
        <v>0.3203904863527583</v>
      </c>
    </row>
    <row r="34" spans="1:9">
      <c r="A34" s="5">
        <v>32</v>
      </c>
      <c r="B34" s="6" t="s">
        <v>187</v>
      </c>
      <c r="C34" s="5">
        <v>1.5</v>
      </c>
      <c r="D34" s="5">
        <v>35</v>
      </c>
      <c r="E34" s="5">
        <v>10</v>
      </c>
      <c r="F34" s="7">
        <v>2.7853000000000003</v>
      </c>
      <c r="G34" s="6">
        <v>0.04</v>
      </c>
      <c r="H34" s="9">
        <f t="shared" si="0"/>
        <v>2.7453000000000003</v>
      </c>
    </row>
    <row r="35" spans="1:9">
      <c r="A35" s="5">
        <v>33</v>
      </c>
      <c r="B35" s="6" t="s">
        <v>188</v>
      </c>
      <c r="C35" s="5">
        <v>3.8</v>
      </c>
      <c r="D35" s="5">
        <v>35</v>
      </c>
      <c r="E35" s="5">
        <v>10</v>
      </c>
      <c r="F35" s="7">
        <v>1.5007764887050257</v>
      </c>
      <c r="G35" s="6">
        <f>0.32+0.01+0.01</f>
        <v>0.34</v>
      </c>
      <c r="H35" s="9">
        <f t="shared" si="0"/>
        <v>1.1607764887050256</v>
      </c>
    </row>
    <row r="36" spans="1:9">
      <c r="A36" s="5">
        <v>34</v>
      </c>
      <c r="B36" s="6" t="s">
        <v>189</v>
      </c>
      <c r="C36" s="5">
        <v>3.26</v>
      </c>
      <c r="D36" s="5">
        <v>35</v>
      </c>
      <c r="E36" s="5">
        <v>10</v>
      </c>
      <c r="F36" s="7">
        <v>1.7493713672021776</v>
      </c>
      <c r="G36" s="6">
        <f>0.17+0.01+0.01+0.01+0.01</f>
        <v>0.21000000000000005</v>
      </c>
      <c r="H36" s="9">
        <f t="shared" si="0"/>
        <v>1.5393713672021776</v>
      </c>
    </row>
    <row r="37" spans="1:9">
      <c r="A37" s="5">
        <v>35</v>
      </c>
      <c r="B37" s="6" t="s">
        <v>190</v>
      </c>
      <c r="C37" s="5">
        <v>6</v>
      </c>
      <c r="D37" s="5">
        <v>35</v>
      </c>
      <c r="E37" s="5">
        <v>10</v>
      </c>
      <c r="F37" s="7">
        <v>0.9504917761798497</v>
      </c>
      <c r="G37" s="6">
        <f>0.07+0.04+0.33+0.01</f>
        <v>0.45000000000000007</v>
      </c>
      <c r="H37" s="9">
        <f t="shared" si="0"/>
        <v>0.50049177617984963</v>
      </c>
    </row>
    <row r="38" spans="1:9">
      <c r="A38" s="5">
        <v>36</v>
      </c>
      <c r="B38" s="6" t="s">
        <v>191</v>
      </c>
      <c r="C38" s="5">
        <v>1.3</v>
      </c>
      <c r="D38" s="5">
        <v>35</v>
      </c>
      <c r="E38" s="5">
        <v>10</v>
      </c>
      <c r="F38" s="7">
        <v>2.7853000000000003</v>
      </c>
      <c r="G38" s="6">
        <v>0.02</v>
      </c>
      <c r="H38" s="9">
        <f t="shared" si="0"/>
        <v>2.7653000000000003</v>
      </c>
    </row>
    <row r="39" spans="1:9">
      <c r="A39" s="5">
        <v>37</v>
      </c>
      <c r="B39" s="6" t="s">
        <v>192</v>
      </c>
      <c r="C39" s="5">
        <v>1.69</v>
      </c>
      <c r="D39" s="5">
        <v>35</v>
      </c>
      <c r="E39" s="5">
        <v>10</v>
      </c>
      <c r="F39" s="7">
        <v>2.7853000000000003</v>
      </c>
      <c r="G39" s="6">
        <v>0.02</v>
      </c>
      <c r="H39" s="9">
        <f t="shared" si="0"/>
        <v>2.7653000000000003</v>
      </c>
    </row>
    <row r="40" spans="1:9">
      <c r="A40" s="5">
        <v>38</v>
      </c>
      <c r="B40" s="6" t="s">
        <v>193</v>
      </c>
      <c r="C40" s="5">
        <v>0.7</v>
      </c>
      <c r="D40" s="5">
        <v>50</v>
      </c>
      <c r="E40" s="5">
        <v>10</v>
      </c>
      <c r="F40" s="7">
        <v>3.3423600000000007</v>
      </c>
      <c r="G40" s="6">
        <v>0.02</v>
      </c>
      <c r="H40" s="9">
        <f t="shared" si="0"/>
        <v>3.3223600000000006</v>
      </c>
    </row>
    <row r="41" spans="1:9">
      <c r="A41" s="5">
        <v>39</v>
      </c>
      <c r="B41" s="6" t="s">
        <v>194</v>
      </c>
      <c r="C41" s="5">
        <v>0.4</v>
      </c>
      <c r="D41" s="5">
        <v>35</v>
      </c>
      <c r="E41" s="5">
        <v>10</v>
      </c>
      <c r="F41" s="7">
        <v>2.7853000000000003</v>
      </c>
      <c r="G41" s="6">
        <v>0</v>
      </c>
      <c r="H41" s="9">
        <f t="shared" si="0"/>
        <v>2.7853000000000003</v>
      </c>
    </row>
    <row r="42" spans="1:9">
      <c r="A42" s="5">
        <v>40</v>
      </c>
      <c r="B42" s="6" t="s">
        <v>195</v>
      </c>
      <c r="C42" s="5">
        <v>7.6</v>
      </c>
      <c r="D42" s="5">
        <v>35</v>
      </c>
      <c r="E42" s="5">
        <v>10</v>
      </c>
      <c r="F42" s="7">
        <v>0.75038824435251283</v>
      </c>
      <c r="G42" s="6">
        <f>0.08+0.01</f>
        <v>0.09</v>
      </c>
      <c r="H42" s="9">
        <f t="shared" si="0"/>
        <v>0.66038824435251287</v>
      </c>
      <c r="I42" s="3" t="s">
        <v>1002</v>
      </c>
    </row>
    <row r="43" spans="1:9">
      <c r="A43" s="5">
        <v>41</v>
      </c>
      <c r="B43" s="6" t="s">
        <v>196</v>
      </c>
      <c r="C43" s="5">
        <v>16.5</v>
      </c>
      <c r="D43" s="5">
        <v>35</v>
      </c>
      <c r="E43" s="5">
        <v>10</v>
      </c>
      <c r="F43" s="7">
        <v>0.34563337315630893</v>
      </c>
      <c r="G43" s="6">
        <v>0</v>
      </c>
      <c r="H43" s="9">
        <f t="shared" si="0"/>
        <v>0.34563337315630893</v>
      </c>
    </row>
    <row r="44" spans="1:9">
      <c r="A44" s="5">
        <v>42</v>
      </c>
      <c r="B44" s="6" t="s">
        <v>197</v>
      </c>
      <c r="C44" s="5">
        <v>3</v>
      </c>
      <c r="D44" s="5">
        <v>35</v>
      </c>
      <c r="E44" s="5">
        <v>10</v>
      </c>
      <c r="F44" s="7">
        <v>1.9009835523596994</v>
      </c>
      <c r="G44" s="6">
        <v>0.03</v>
      </c>
      <c r="H44" s="9">
        <f t="shared" si="0"/>
        <v>1.8709835523596994</v>
      </c>
    </row>
    <row r="45" spans="1:9">
      <c r="A45" s="5">
        <v>43</v>
      </c>
      <c r="B45" s="6" t="s">
        <v>198</v>
      </c>
      <c r="C45" s="5">
        <v>2.4500000000000002</v>
      </c>
      <c r="D45" s="5">
        <v>35</v>
      </c>
      <c r="E45" s="5">
        <v>10</v>
      </c>
      <c r="F45" s="7">
        <v>2.3277349620731012</v>
      </c>
      <c r="G45" s="6">
        <v>0</v>
      </c>
      <c r="H45" s="9">
        <f t="shared" si="0"/>
        <v>2.3277349620731012</v>
      </c>
    </row>
    <row r="46" spans="1:9">
      <c r="A46" s="5">
        <v>44</v>
      </c>
      <c r="B46" s="6" t="s">
        <v>199</v>
      </c>
      <c r="C46" s="5">
        <v>12</v>
      </c>
      <c r="D46" s="5">
        <v>35</v>
      </c>
      <c r="E46" s="5">
        <v>10</v>
      </c>
      <c r="F46" s="7">
        <v>0.47524588808992485</v>
      </c>
      <c r="G46" s="6">
        <f>0.05+0.0085</f>
        <v>5.8500000000000003E-2</v>
      </c>
      <c r="H46" s="9">
        <f t="shared" si="0"/>
        <v>0.41674588808992485</v>
      </c>
    </row>
    <row r="47" spans="1:9">
      <c r="A47" s="5">
        <v>45</v>
      </c>
      <c r="B47" s="6" t="s">
        <v>200</v>
      </c>
      <c r="C47" s="5">
        <v>9.1</v>
      </c>
      <c r="D47" s="5">
        <v>35</v>
      </c>
      <c r="E47" s="5">
        <v>10</v>
      </c>
      <c r="F47" s="7">
        <v>0.62669787440429647</v>
      </c>
      <c r="G47" s="6">
        <v>0.05</v>
      </c>
      <c r="H47" s="9">
        <f t="shared" si="0"/>
        <v>0.57669787440429643</v>
      </c>
    </row>
    <row r="48" spans="1:9">
      <c r="A48" s="5">
        <v>46</v>
      </c>
      <c r="B48" s="6" t="s">
        <v>201</v>
      </c>
      <c r="C48" s="5">
        <v>17</v>
      </c>
      <c r="D48" s="5">
        <v>35</v>
      </c>
      <c r="E48" s="5">
        <v>10</v>
      </c>
      <c r="F48" s="7">
        <v>0.3354676857105352</v>
      </c>
      <c r="G48" s="9">
        <f>0.1+0.0105</f>
        <v>0.1105</v>
      </c>
      <c r="H48" s="9">
        <f t="shared" si="0"/>
        <v>0.22496768571053521</v>
      </c>
    </row>
    <row r="49" spans="1:8">
      <c r="A49" s="5">
        <v>47</v>
      </c>
      <c r="B49" s="6" t="s">
        <v>202</v>
      </c>
      <c r="C49" s="5">
        <v>0.8</v>
      </c>
      <c r="D49" s="5">
        <v>35</v>
      </c>
      <c r="E49" s="5">
        <v>10</v>
      </c>
      <c r="F49" s="7">
        <v>2.7853000000000003</v>
      </c>
      <c r="G49" s="6">
        <v>0</v>
      </c>
      <c r="H49" s="9">
        <f t="shared" si="0"/>
        <v>2.7853000000000003</v>
      </c>
    </row>
    <row r="50" spans="1:8">
      <c r="A50" s="5">
        <v>48</v>
      </c>
      <c r="B50" s="6" t="s">
        <v>203</v>
      </c>
      <c r="C50" s="5">
        <v>4.92</v>
      </c>
      <c r="D50" s="5">
        <v>35</v>
      </c>
      <c r="E50" s="5">
        <v>10</v>
      </c>
      <c r="F50" s="7">
        <v>1.1591363124144509</v>
      </c>
      <c r="G50" s="6">
        <v>0.13</v>
      </c>
      <c r="H50" s="9">
        <f t="shared" si="0"/>
        <v>1.029136312414451</v>
      </c>
    </row>
    <row r="51" spans="1:8">
      <c r="A51" s="5">
        <v>49</v>
      </c>
      <c r="B51" s="6" t="s">
        <v>204</v>
      </c>
      <c r="C51" s="5">
        <v>7.6</v>
      </c>
      <c r="D51" s="5">
        <v>50</v>
      </c>
      <c r="E51" s="5">
        <v>10</v>
      </c>
      <c r="F51" s="7">
        <v>0.96764693508351229</v>
      </c>
      <c r="G51" s="6">
        <v>0.02</v>
      </c>
      <c r="H51" s="9">
        <f t="shared" si="0"/>
        <v>0.94764693508351228</v>
      </c>
    </row>
    <row r="52" spans="1:8">
      <c r="A52" s="5">
        <v>50</v>
      </c>
      <c r="B52" s="6" t="s">
        <v>205</v>
      </c>
      <c r="C52" s="5">
        <v>11.3</v>
      </c>
      <c r="D52" s="5">
        <v>50</v>
      </c>
      <c r="E52" s="5">
        <v>10</v>
      </c>
      <c r="F52" s="7">
        <v>0.6508067881977605</v>
      </c>
      <c r="G52" s="6">
        <v>0</v>
      </c>
      <c r="H52" s="9">
        <f t="shared" si="0"/>
        <v>0.6508067881977605</v>
      </c>
    </row>
    <row r="53" spans="1:8">
      <c r="A53" s="5">
        <v>51</v>
      </c>
      <c r="B53" s="6" t="s">
        <v>206</v>
      </c>
      <c r="C53" s="5">
        <v>15</v>
      </c>
      <c r="D53" s="5">
        <v>35</v>
      </c>
      <c r="E53" s="5">
        <v>10</v>
      </c>
      <c r="F53" s="7">
        <v>0.38019671047193981</v>
      </c>
      <c r="G53" s="6">
        <v>0</v>
      </c>
      <c r="H53" s="9">
        <f t="shared" si="0"/>
        <v>0.38019671047193981</v>
      </c>
    </row>
    <row r="54" spans="1:8">
      <c r="A54" s="5">
        <v>52</v>
      </c>
      <c r="B54" s="6" t="s">
        <v>207</v>
      </c>
      <c r="C54" s="5">
        <v>17</v>
      </c>
      <c r="D54" s="5">
        <v>35</v>
      </c>
      <c r="E54" s="5">
        <v>10</v>
      </c>
      <c r="F54" s="7">
        <v>0.3354676857105352</v>
      </c>
      <c r="G54" s="6">
        <f>0+0.008</f>
        <v>8.0000000000000002E-3</v>
      </c>
      <c r="H54" s="9">
        <f t="shared" si="0"/>
        <v>0.32746768571053519</v>
      </c>
    </row>
    <row r="55" spans="1:8">
      <c r="A55" s="5">
        <v>53</v>
      </c>
      <c r="B55" s="6" t="s">
        <v>208</v>
      </c>
      <c r="C55" s="5">
        <v>4.33</v>
      </c>
      <c r="D55" s="5">
        <v>35</v>
      </c>
      <c r="E55" s="5">
        <v>10</v>
      </c>
      <c r="F55" s="7">
        <v>1.3170786736903228</v>
      </c>
      <c r="G55" s="6">
        <f>0.49+0.01+0.01</f>
        <v>0.51</v>
      </c>
      <c r="H55" s="9">
        <f t="shared" si="0"/>
        <v>0.80707867369032282</v>
      </c>
    </row>
    <row r="56" spans="1:8">
      <c r="A56" s="5">
        <v>54</v>
      </c>
      <c r="B56" s="6" t="s">
        <v>209</v>
      </c>
      <c r="C56" s="5">
        <v>1.1000000000000001</v>
      </c>
      <c r="D56" s="5">
        <v>35</v>
      </c>
      <c r="E56" s="5">
        <v>10</v>
      </c>
      <c r="F56" s="7">
        <v>2.7853000000000003</v>
      </c>
      <c r="G56" s="6">
        <v>0.67700000000000005</v>
      </c>
      <c r="H56" s="9">
        <f t="shared" si="0"/>
        <v>2.1083000000000003</v>
      </c>
    </row>
    <row r="57" spans="1:8">
      <c r="A57" s="5">
        <v>55</v>
      </c>
      <c r="B57" s="6" t="s">
        <v>210</v>
      </c>
      <c r="C57" s="5">
        <v>0.7</v>
      </c>
      <c r="D57" s="5">
        <v>35</v>
      </c>
      <c r="E57" s="5">
        <v>10</v>
      </c>
      <c r="F57" s="7">
        <v>2.7853000000000003</v>
      </c>
      <c r="G57" s="6">
        <v>0.08</v>
      </c>
      <c r="H57" s="9">
        <f t="shared" si="0"/>
        <v>2.7053000000000003</v>
      </c>
    </row>
    <row r="58" spans="1:8">
      <c r="A58" s="5">
        <v>56</v>
      </c>
      <c r="B58" s="6" t="s">
        <v>211</v>
      </c>
      <c r="C58" s="5">
        <v>5.78</v>
      </c>
      <c r="D58" s="5">
        <v>70</v>
      </c>
      <c r="E58" s="5">
        <v>10</v>
      </c>
      <c r="F58" s="7">
        <v>1.752582582834292</v>
      </c>
      <c r="G58" s="6">
        <v>0.02</v>
      </c>
      <c r="H58" s="9">
        <f t="shared" si="0"/>
        <v>1.732582582834292</v>
      </c>
    </row>
    <row r="59" spans="1:8">
      <c r="A59" s="5">
        <v>57</v>
      </c>
      <c r="B59" s="6" t="s">
        <v>212</v>
      </c>
      <c r="C59" s="5">
        <v>2</v>
      </c>
      <c r="D59" s="5">
        <v>70</v>
      </c>
      <c r="E59" s="5">
        <v>10</v>
      </c>
      <c r="F59" s="7">
        <v>4.2177400000000009</v>
      </c>
      <c r="G59" s="6">
        <v>0.01</v>
      </c>
      <c r="H59" s="9">
        <f t="shared" si="0"/>
        <v>4.2077400000000011</v>
      </c>
    </row>
    <row r="60" spans="1:8">
      <c r="A60" s="5">
        <v>58</v>
      </c>
      <c r="B60" s="6" t="s">
        <v>213</v>
      </c>
      <c r="C60" s="5">
        <v>1.5</v>
      </c>
      <c r="D60" s="5">
        <v>35</v>
      </c>
      <c r="E60" s="5">
        <v>10</v>
      </c>
      <c r="F60" s="7">
        <v>2.7853000000000003</v>
      </c>
      <c r="G60" s="6">
        <v>0.01</v>
      </c>
      <c r="H60" s="9">
        <f t="shared" si="0"/>
        <v>2.7753000000000005</v>
      </c>
    </row>
    <row r="61" spans="1:8">
      <c r="A61" s="5">
        <v>59</v>
      </c>
      <c r="B61" s="6" t="s">
        <v>214</v>
      </c>
      <c r="C61" s="5">
        <v>3</v>
      </c>
      <c r="D61" s="5">
        <v>35</v>
      </c>
      <c r="E61" s="5">
        <v>10</v>
      </c>
      <c r="F61" s="7">
        <v>1.9009835523596994</v>
      </c>
      <c r="G61" s="6">
        <v>0.02</v>
      </c>
      <c r="H61" s="9">
        <f t="shared" si="0"/>
        <v>1.8809835523596994</v>
      </c>
    </row>
    <row r="62" spans="1:8">
      <c r="A62" s="5">
        <v>60</v>
      </c>
      <c r="B62" s="6" t="s">
        <v>215</v>
      </c>
      <c r="C62" s="5">
        <v>4.5</v>
      </c>
      <c r="D62" s="5">
        <v>35</v>
      </c>
      <c r="E62" s="5">
        <v>10</v>
      </c>
      <c r="F62" s="7">
        <v>1.2673223682397996</v>
      </c>
      <c r="G62" s="6">
        <v>0</v>
      </c>
      <c r="H62" s="9">
        <f t="shared" si="0"/>
        <v>1.2673223682397996</v>
      </c>
    </row>
    <row r="63" spans="1:8">
      <c r="A63" s="5">
        <v>61</v>
      </c>
      <c r="B63" s="6" t="s">
        <v>216</v>
      </c>
      <c r="C63" s="5">
        <v>34.6</v>
      </c>
      <c r="D63" s="5">
        <v>35</v>
      </c>
      <c r="E63" s="5">
        <v>10</v>
      </c>
      <c r="F63" s="7">
        <v>0.16482516349939591</v>
      </c>
      <c r="G63" s="6">
        <v>0.04</v>
      </c>
      <c r="H63" s="9">
        <f t="shared" si="0"/>
        <v>0.1248251634993959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topLeftCell="B1" zoomScale="130" zoomScaleNormal="100" zoomScaleSheetLayoutView="130" workbookViewId="0">
      <pane xSplit="1" ySplit="2" topLeftCell="C18" activePane="bottomRight" state="frozen"/>
      <selection activeCell="B1" sqref="B1"/>
      <selection pane="topRight" activeCell="C1" sqref="C1"/>
      <selection pane="bottomLeft" activeCell="B3" sqref="B3"/>
      <selection pane="bottomRight" activeCell="D24" sqref="D24"/>
    </sheetView>
  </sheetViews>
  <sheetFormatPr defaultColWidth="9.140625" defaultRowHeight="15"/>
  <cols>
    <col min="1" max="1" width="9.140625" style="4"/>
    <col min="2" max="2" width="35.28515625" style="3" customWidth="1"/>
    <col min="3" max="3" width="13.28515625" style="4" customWidth="1"/>
    <col min="4" max="4" width="11.42578125" style="4" customWidth="1"/>
    <col min="5" max="5" width="13.140625" style="4" customWidth="1"/>
    <col min="6" max="6" width="14.28515625" style="3" customWidth="1"/>
    <col min="7" max="7" width="13.5703125" style="3" customWidth="1"/>
    <col min="8" max="9" width="11.42578125" style="3" customWidth="1"/>
    <col min="10" max="16384" width="9.140625" style="3"/>
  </cols>
  <sheetData>
    <row r="1" spans="1:9" ht="71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217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218</v>
      </c>
      <c r="C3" s="5">
        <v>2</v>
      </c>
      <c r="D3" s="5">
        <v>25</v>
      </c>
      <c r="E3" s="5">
        <v>10</v>
      </c>
      <c r="F3" s="7">
        <v>1.9365159552075446</v>
      </c>
      <c r="G3" s="6">
        <v>0.02</v>
      </c>
      <c r="H3" s="9">
        <f t="shared" ref="H3:H20" si="0">F3-G3</f>
        <v>1.9165159552075446</v>
      </c>
    </row>
    <row r="4" spans="1:9">
      <c r="A4" s="5">
        <v>2</v>
      </c>
      <c r="B4" s="6" t="s">
        <v>219</v>
      </c>
      <c r="C4" s="5">
        <v>16.8</v>
      </c>
      <c r="D4" s="5">
        <v>25</v>
      </c>
      <c r="E4" s="5">
        <v>10</v>
      </c>
      <c r="F4" s="7">
        <v>0.23053761371518386</v>
      </c>
      <c r="G4" s="6">
        <v>0.02</v>
      </c>
      <c r="H4" s="9">
        <f t="shared" si="0"/>
        <v>0.21053761371518387</v>
      </c>
    </row>
    <row r="5" spans="1:9">
      <c r="A5" s="5">
        <v>3</v>
      </c>
      <c r="B5" s="6" t="s">
        <v>220</v>
      </c>
      <c r="C5" s="5">
        <v>8.7100000000000009</v>
      </c>
      <c r="D5" s="5">
        <v>25</v>
      </c>
      <c r="E5" s="5">
        <v>10</v>
      </c>
      <c r="F5" s="7">
        <v>0.44466497249312159</v>
      </c>
      <c r="G5" s="6">
        <v>0.03</v>
      </c>
      <c r="H5" s="9">
        <f t="shared" si="0"/>
        <v>0.41466497249312162</v>
      </c>
    </row>
    <row r="6" spans="1:9">
      <c r="A6" s="5">
        <v>4</v>
      </c>
      <c r="B6" s="6" t="s">
        <v>221</v>
      </c>
      <c r="C6" s="5">
        <v>9.15</v>
      </c>
      <c r="D6" s="5">
        <v>35</v>
      </c>
      <c r="E6" s="5">
        <v>10</v>
      </c>
      <c r="F6" s="7">
        <v>0.62327329585563906</v>
      </c>
      <c r="G6" s="6">
        <v>0.03</v>
      </c>
      <c r="H6" s="9">
        <f t="shared" si="0"/>
        <v>0.59327329585563904</v>
      </c>
    </row>
    <row r="7" spans="1:9">
      <c r="A7" s="5">
        <v>5</v>
      </c>
      <c r="B7" s="6" t="s">
        <v>222</v>
      </c>
      <c r="C7" s="5">
        <v>3</v>
      </c>
      <c r="D7" s="5">
        <v>25</v>
      </c>
      <c r="E7" s="5">
        <v>10</v>
      </c>
      <c r="F7" s="7">
        <v>1.2910106368050296</v>
      </c>
      <c r="G7" s="6">
        <v>0.06</v>
      </c>
      <c r="H7" s="9">
        <f t="shared" si="0"/>
        <v>1.2310106368050295</v>
      </c>
    </row>
    <row r="8" spans="1:9">
      <c r="A8" s="5">
        <v>6</v>
      </c>
      <c r="B8" s="6" t="s">
        <v>223</v>
      </c>
      <c r="C8" s="5">
        <v>2.44</v>
      </c>
      <c r="D8" s="5">
        <v>35</v>
      </c>
      <c r="E8" s="5">
        <v>10</v>
      </c>
      <c r="F8" s="7">
        <v>2.3372748594586468</v>
      </c>
      <c r="G8" s="6">
        <v>0.02</v>
      </c>
      <c r="H8" s="9">
        <f t="shared" si="0"/>
        <v>2.3172748594586468</v>
      </c>
    </row>
    <row r="9" spans="1:9">
      <c r="A9" s="5">
        <v>7</v>
      </c>
      <c r="B9" s="6" t="s">
        <v>224</v>
      </c>
      <c r="C9" s="5">
        <v>8.8000000000000007</v>
      </c>
      <c r="D9" s="5">
        <v>35</v>
      </c>
      <c r="E9" s="5">
        <v>10</v>
      </c>
      <c r="F9" s="7">
        <v>0.64806257466807926</v>
      </c>
      <c r="G9" s="6">
        <v>0.02</v>
      </c>
      <c r="H9" s="9">
        <f t="shared" si="0"/>
        <v>0.62806257466807924</v>
      </c>
    </row>
    <row r="10" spans="1:9">
      <c r="A10" s="5">
        <v>8</v>
      </c>
      <c r="B10" s="6" t="s">
        <v>225</v>
      </c>
      <c r="C10" s="5">
        <v>0.7</v>
      </c>
      <c r="D10" s="5">
        <v>35</v>
      </c>
      <c r="E10" s="5">
        <v>10</v>
      </c>
      <c r="F10" s="7">
        <v>2.7853000000000003</v>
      </c>
      <c r="G10" s="6">
        <v>0.02</v>
      </c>
      <c r="H10" s="9">
        <f t="shared" si="0"/>
        <v>2.7653000000000003</v>
      </c>
    </row>
    <row r="11" spans="1:9">
      <c r="A11" s="5">
        <v>9</v>
      </c>
      <c r="B11" s="6" t="s">
        <v>226</v>
      </c>
      <c r="C11" s="5">
        <v>1.34</v>
      </c>
      <c r="D11" s="5">
        <v>35</v>
      </c>
      <c r="E11" s="5">
        <v>10</v>
      </c>
      <c r="F11" s="7">
        <v>2.7853000000000003</v>
      </c>
      <c r="G11" s="6">
        <v>0.02</v>
      </c>
      <c r="H11" s="9">
        <f t="shared" si="0"/>
        <v>2.7653000000000003</v>
      </c>
    </row>
    <row r="12" spans="1:9">
      <c r="A12" s="5">
        <v>10</v>
      </c>
      <c r="B12" s="6" t="s">
        <v>227</v>
      </c>
      <c r="C12" s="5">
        <v>24.8</v>
      </c>
      <c r="D12" s="5">
        <v>35</v>
      </c>
      <c r="E12" s="5">
        <v>10</v>
      </c>
      <c r="F12" s="7">
        <v>0.22995768778544751</v>
      </c>
      <c r="G12" s="6">
        <v>0.02</v>
      </c>
      <c r="H12" s="9">
        <f t="shared" si="0"/>
        <v>0.20995768778544752</v>
      </c>
    </row>
    <row r="13" spans="1:9">
      <c r="A13" s="5">
        <v>11</v>
      </c>
      <c r="B13" s="6" t="s">
        <v>228</v>
      </c>
      <c r="C13" s="5">
        <v>0.5</v>
      </c>
      <c r="D13" s="5">
        <v>35</v>
      </c>
      <c r="E13" s="5">
        <v>10</v>
      </c>
      <c r="F13" s="7">
        <v>2.7853000000000003</v>
      </c>
      <c r="G13" s="6">
        <v>0.02</v>
      </c>
      <c r="H13" s="9">
        <f t="shared" si="0"/>
        <v>2.7653000000000003</v>
      </c>
    </row>
    <row r="14" spans="1:9">
      <c r="A14" s="5">
        <v>12</v>
      </c>
      <c r="B14" s="6" t="s">
        <v>229</v>
      </c>
      <c r="C14" s="5">
        <v>5.39</v>
      </c>
      <c r="D14" s="5">
        <v>35</v>
      </c>
      <c r="E14" s="5">
        <v>10</v>
      </c>
      <c r="F14" s="7">
        <v>1.0580613463968644</v>
      </c>
      <c r="G14" s="6">
        <v>0.02</v>
      </c>
      <c r="H14" s="9">
        <f t="shared" si="0"/>
        <v>1.0380613463968644</v>
      </c>
    </row>
    <row r="15" spans="1:9">
      <c r="A15" s="5">
        <v>13</v>
      </c>
      <c r="B15" s="6" t="s">
        <v>230</v>
      </c>
      <c r="C15" s="5">
        <v>1.48</v>
      </c>
      <c r="D15" s="5">
        <v>35</v>
      </c>
      <c r="E15" s="5">
        <v>10</v>
      </c>
      <c r="F15" s="7">
        <v>2.7853000000000003</v>
      </c>
      <c r="G15" s="6">
        <v>0.05</v>
      </c>
      <c r="H15" s="9">
        <f t="shared" si="0"/>
        <v>2.7353000000000005</v>
      </c>
    </row>
    <row r="16" spans="1:9">
      <c r="A16" s="5">
        <v>14</v>
      </c>
      <c r="B16" s="6" t="s">
        <v>231</v>
      </c>
      <c r="C16" s="5">
        <v>1.5</v>
      </c>
      <c r="D16" s="5">
        <v>35</v>
      </c>
      <c r="E16" s="5">
        <v>10</v>
      </c>
      <c r="F16" s="7">
        <v>2.7853000000000003</v>
      </c>
      <c r="G16" s="6">
        <v>0.02</v>
      </c>
      <c r="H16" s="9">
        <f t="shared" si="0"/>
        <v>2.7653000000000003</v>
      </c>
    </row>
    <row r="17" spans="1:8">
      <c r="A17" s="5">
        <v>15</v>
      </c>
      <c r="B17" s="6" t="s">
        <v>232</v>
      </c>
      <c r="C17" s="5">
        <v>11.8</v>
      </c>
      <c r="D17" s="5">
        <v>35</v>
      </c>
      <c r="E17" s="5">
        <v>10</v>
      </c>
      <c r="F17" s="7">
        <v>0.48330090314229646</v>
      </c>
      <c r="G17" s="6">
        <v>0.02</v>
      </c>
      <c r="H17" s="9">
        <f t="shared" si="0"/>
        <v>0.46330090314229644</v>
      </c>
    </row>
    <row r="18" spans="1:8">
      <c r="A18" s="5">
        <v>16</v>
      </c>
      <c r="B18" s="6" t="s">
        <v>233</v>
      </c>
      <c r="C18" s="5">
        <v>2.17</v>
      </c>
      <c r="D18" s="5">
        <v>35</v>
      </c>
      <c r="E18" s="5">
        <v>10</v>
      </c>
      <c r="F18" s="7">
        <v>2.6280878604051141</v>
      </c>
      <c r="G18" s="6">
        <v>0.05</v>
      </c>
      <c r="H18" s="9">
        <f t="shared" si="0"/>
        <v>2.5780878604051143</v>
      </c>
    </row>
    <row r="19" spans="1:8">
      <c r="A19" s="5">
        <v>17</v>
      </c>
      <c r="B19" s="6" t="s">
        <v>234</v>
      </c>
      <c r="C19" s="5">
        <v>4.4000000000000004</v>
      </c>
      <c r="D19" s="5">
        <v>35</v>
      </c>
      <c r="E19" s="5">
        <v>10</v>
      </c>
      <c r="F19" s="7">
        <v>1.2961251493361585</v>
      </c>
      <c r="G19" s="6">
        <v>0.02</v>
      </c>
      <c r="H19" s="9">
        <f t="shared" si="0"/>
        <v>1.2761251493361585</v>
      </c>
    </row>
    <row r="20" spans="1:8">
      <c r="A20" s="5">
        <v>18</v>
      </c>
      <c r="B20" s="6" t="s">
        <v>235</v>
      </c>
      <c r="C20" s="5">
        <v>3.5</v>
      </c>
      <c r="D20" s="5">
        <v>50</v>
      </c>
      <c r="E20" s="5">
        <v>10</v>
      </c>
      <c r="F20" s="7">
        <v>2.101176201895627</v>
      </c>
      <c r="G20" s="6">
        <v>0.13</v>
      </c>
      <c r="H20" s="9">
        <f t="shared" si="0"/>
        <v>1.9711762018956271</v>
      </c>
    </row>
    <row r="21" spans="1:8">
      <c r="A21" s="5">
        <v>19</v>
      </c>
      <c r="B21" s="6" t="s">
        <v>236</v>
      </c>
      <c r="C21" s="5">
        <v>2.6</v>
      </c>
      <c r="D21" s="5">
        <v>35</v>
      </c>
      <c r="E21" s="5">
        <v>10</v>
      </c>
      <c r="F21" s="7">
        <v>2.193442560415038</v>
      </c>
      <c r="G21" s="6">
        <v>0.06</v>
      </c>
      <c r="H21" s="9">
        <f t="shared" ref="H21:H66" si="1">F21-G21</f>
        <v>2.133442560415038</v>
      </c>
    </row>
    <row r="22" spans="1:8">
      <c r="A22" s="5">
        <v>20</v>
      </c>
      <c r="B22" s="6" t="s">
        <v>237</v>
      </c>
      <c r="C22" s="5">
        <v>5.04</v>
      </c>
      <c r="D22" s="5">
        <v>35</v>
      </c>
      <c r="E22" s="5">
        <v>10</v>
      </c>
      <c r="F22" s="7">
        <v>1.1315378287855353</v>
      </c>
      <c r="G22" s="6">
        <v>0.06</v>
      </c>
      <c r="H22" s="9">
        <f t="shared" si="1"/>
        <v>1.0715378287855353</v>
      </c>
    </row>
    <row r="23" spans="1:8">
      <c r="A23" s="5">
        <v>21</v>
      </c>
      <c r="B23" s="6" t="s">
        <v>238</v>
      </c>
      <c r="C23" s="5">
        <v>11.64</v>
      </c>
      <c r="D23" s="5">
        <v>35</v>
      </c>
      <c r="E23" s="5">
        <v>10</v>
      </c>
      <c r="F23" s="7">
        <v>0.48994421452569564</v>
      </c>
      <c r="G23" s="6">
        <v>0.02</v>
      </c>
      <c r="H23" s="9">
        <f t="shared" si="1"/>
        <v>0.46994421452569562</v>
      </c>
    </row>
    <row r="24" spans="1:8">
      <c r="A24" s="5">
        <v>22</v>
      </c>
      <c r="B24" s="6" t="s">
        <v>239</v>
      </c>
      <c r="C24" s="5">
        <v>1.25</v>
      </c>
      <c r="D24" s="5">
        <v>35</v>
      </c>
      <c r="E24" s="5">
        <v>10</v>
      </c>
      <c r="F24" s="7">
        <v>2.7853000000000003</v>
      </c>
      <c r="G24" s="6">
        <v>0.14000000000000001</v>
      </c>
      <c r="H24" s="9">
        <f t="shared" si="1"/>
        <v>2.6453000000000002</v>
      </c>
    </row>
    <row r="25" spans="1:8">
      <c r="A25" s="5">
        <v>23</v>
      </c>
      <c r="B25" s="6" t="s">
        <v>240</v>
      </c>
      <c r="C25" s="5">
        <v>3.855</v>
      </c>
      <c r="D25" s="5">
        <v>35</v>
      </c>
      <c r="E25" s="5">
        <v>10</v>
      </c>
      <c r="F25" s="7">
        <v>1.4793646321865366</v>
      </c>
      <c r="G25" s="6">
        <v>0.09</v>
      </c>
      <c r="H25" s="9">
        <f t="shared" si="1"/>
        <v>1.3893646321865365</v>
      </c>
    </row>
    <row r="26" spans="1:8">
      <c r="A26" s="5">
        <v>24</v>
      </c>
      <c r="B26" s="6" t="s">
        <v>241</v>
      </c>
      <c r="C26" s="5">
        <v>23.8</v>
      </c>
      <c r="D26" s="5">
        <v>35</v>
      </c>
      <c r="E26" s="5">
        <v>10</v>
      </c>
      <c r="F26" s="7">
        <v>0.23961977550752514</v>
      </c>
      <c r="G26" s="6">
        <v>0.02</v>
      </c>
      <c r="H26" s="9">
        <f t="shared" si="1"/>
        <v>0.21961977550752515</v>
      </c>
    </row>
    <row r="27" spans="1:8">
      <c r="A27" s="5">
        <v>25</v>
      </c>
      <c r="B27" s="6" t="s">
        <v>242</v>
      </c>
      <c r="C27" s="5">
        <v>9.1</v>
      </c>
      <c r="D27" s="5">
        <v>35</v>
      </c>
      <c r="E27" s="5">
        <v>10</v>
      </c>
      <c r="F27" s="7">
        <v>0.62669787440429647</v>
      </c>
      <c r="G27" s="6">
        <v>0.02</v>
      </c>
      <c r="H27" s="9">
        <f t="shared" si="1"/>
        <v>0.60669787440429646</v>
      </c>
    </row>
    <row r="28" spans="1:8">
      <c r="A28" s="5">
        <v>26</v>
      </c>
      <c r="B28" s="6" t="s">
        <v>243</v>
      </c>
      <c r="C28" s="5">
        <v>2.1</v>
      </c>
      <c r="D28" s="5">
        <v>35</v>
      </c>
      <c r="E28" s="5">
        <v>10</v>
      </c>
      <c r="F28" s="7">
        <v>2.7156907890852851</v>
      </c>
      <c r="G28" s="6">
        <f>0.07+0.0016</f>
        <v>7.1600000000000011E-2</v>
      </c>
      <c r="H28" s="9">
        <f t="shared" si="1"/>
        <v>2.6440907890852849</v>
      </c>
    </row>
    <row r="29" spans="1:8">
      <c r="A29" s="5">
        <v>27</v>
      </c>
      <c r="B29" s="6" t="s">
        <v>244</v>
      </c>
      <c r="C29" s="5">
        <v>3.9</v>
      </c>
      <c r="D29" s="5">
        <v>35</v>
      </c>
      <c r="E29" s="5">
        <v>10</v>
      </c>
      <c r="F29" s="7">
        <v>1.4622950402766917</v>
      </c>
      <c r="G29" s="6">
        <v>0.05</v>
      </c>
      <c r="H29" s="9">
        <f t="shared" si="1"/>
        <v>1.4122950402766916</v>
      </c>
    </row>
    <row r="30" spans="1:8">
      <c r="A30" s="5">
        <v>28</v>
      </c>
      <c r="B30" s="6" t="s">
        <v>245</v>
      </c>
      <c r="C30" s="5">
        <v>0.25</v>
      </c>
      <c r="D30" s="5">
        <v>35</v>
      </c>
      <c r="E30" s="5">
        <v>10</v>
      </c>
      <c r="F30" s="7">
        <v>2.7853000000000003</v>
      </c>
      <c r="G30" s="6">
        <v>0.51</v>
      </c>
      <c r="H30" s="9">
        <f t="shared" si="1"/>
        <v>2.2753000000000005</v>
      </c>
    </row>
    <row r="31" spans="1:8">
      <c r="A31" s="5">
        <v>29</v>
      </c>
      <c r="B31" s="6" t="s">
        <v>246</v>
      </c>
      <c r="C31" s="5">
        <v>6.42</v>
      </c>
      <c r="D31" s="5">
        <v>50</v>
      </c>
      <c r="E31" s="5">
        <v>10</v>
      </c>
      <c r="F31" s="7">
        <v>1.1455010446471485</v>
      </c>
      <c r="G31" s="6">
        <v>0.03</v>
      </c>
      <c r="H31" s="9">
        <f t="shared" si="1"/>
        <v>1.1155010446471485</v>
      </c>
    </row>
    <row r="32" spans="1:8">
      <c r="A32" s="5">
        <v>30</v>
      </c>
      <c r="B32" s="6" t="s">
        <v>247</v>
      </c>
      <c r="C32" s="5">
        <v>3.15</v>
      </c>
      <c r="D32" s="5">
        <v>35</v>
      </c>
      <c r="E32" s="5">
        <v>10</v>
      </c>
      <c r="F32" s="7">
        <v>1.8104605260568567</v>
      </c>
      <c r="G32" s="6">
        <f>0.16+0.0021+0.004</f>
        <v>0.1661</v>
      </c>
      <c r="H32" s="9">
        <f t="shared" si="1"/>
        <v>1.6443605260568568</v>
      </c>
    </row>
    <row r="33" spans="1:8">
      <c r="A33" s="5">
        <v>31</v>
      </c>
      <c r="B33" s="6" t="s">
        <v>248</v>
      </c>
      <c r="C33" s="5">
        <v>5.4</v>
      </c>
      <c r="D33" s="5">
        <v>35</v>
      </c>
      <c r="E33" s="5">
        <v>10</v>
      </c>
      <c r="F33" s="7">
        <v>1.056101973533166</v>
      </c>
      <c r="G33" s="6">
        <v>0.12</v>
      </c>
      <c r="H33" s="9">
        <f t="shared" si="1"/>
        <v>0.93610197353316604</v>
      </c>
    </row>
    <row r="34" spans="1:8">
      <c r="A34" s="5">
        <v>32</v>
      </c>
      <c r="B34" s="6" t="s">
        <v>249</v>
      </c>
      <c r="C34" s="5">
        <v>10.9</v>
      </c>
      <c r="D34" s="5">
        <v>50</v>
      </c>
      <c r="E34" s="5">
        <v>10</v>
      </c>
      <c r="F34" s="7">
        <v>0.67468960611327466</v>
      </c>
      <c r="G34" s="6">
        <f>0.08+0.001+0.0011</f>
        <v>8.2100000000000006E-2</v>
      </c>
      <c r="H34" s="9">
        <f t="shared" si="1"/>
        <v>0.59258960611327471</v>
      </c>
    </row>
    <row r="35" spans="1:8">
      <c r="A35" s="5">
        <v>33</v>
      </c>
      <c r="B35" s="6" t="s">
        <v>250</v>
      </c>
      <c r="C35" s="5">
        <v>10.38</v>
      </c>
      <c r="D35" s="5">
        <v>35</v>
      </c>
      <c r="E35" s="5">
        <v>10</v>
      </c>
      <c r="F35" s="7">
        <v>0.54941721166465296</v>
      </c>
      <c r="G35" s="6">
        <f>0.17+0.0002</f>
        <v>0.17020000000000002</v>
      </c>
      <c r="H35" s="9">
        <f t="shared" si="1"/>
        <v>0.37921721166465294</v>
      </c>
    </row>
    <row r="36" spans="1:8">
      <c r="A36" s="5">
        <v>34</v>
      </c>
      <c r="B36" s="6" t="s">
        <v>251</v>
      </c>
      <c r="C36" s="5">
        <v>0.28000000000000003</v>
      </c>
      <c r="D36" s="5">
        <v>50</v>
      </c>
      <c r="E36" s="5">
        <v>10</v>
      </c>
      <c r="F36" s="7">
        <v>3.3423600000000007</v>
      </c>
      <c r="G36" s="6">
        <v>0.02</v>
      </c>
      <c r="H36" s="9">
        <f t="shared" si="1"/>
        <v>3.3223600000000006</v>
      </c>
    </row>
    <row r="37" spans="1:8">
      <c r="A37" s="5">
        <v>35</v>
      </c>
      <c r="B37" s="6" t="s">
        <v>252</v>
      </c>
      <c r="C37" s="5">
        <v>40</v>
      </c>
      <c r="D37" s="5">
        <v>35</v>
      </c>
      <c r="E37" s="5">
        <v>10</v>
      </c>
      <c r="F37" s="7">
        <v>0.14257376642697744</v>
      </c>
      <c r="G37" s="6">
        <v>0.08</v>
      </c>
      <c r="H37" s="9">
        <f t="shared" si="1"/>
        <v>6.2573766426977442E-2</v>
      </c>
    </row>
    <row r="38" spans="1:8">
      <c r="A38" s="5">
        <v>36</v>
      </c>
      <c r="B38" s="6" t="s">
        <v>253</v>
      </c>
      <c r="C38" s="5">
        <v>2.4</v>
      </c>
      <c r="D38" s="5">
        <v>35</v>
      </c>
      <c r="E38" s="5">
        <v>10</v>
      </c>
      <c r="F38" s="7">
        <v>2.3762294404496247</v>
      </c>
      <c r="G38" s="6">
        <v>0.02</v>
      </c>
      <c r="H38" s="9">
        <f t="shared" si="1"/>
        <v>2.3562294404496247</v>
      </c>
    </row>
    <row r="39" spans="1:8">
      <c r="A39" s="5">
        <v>37</v>
      </c>
      <c r="B39" s="6" t="s">
        <v>254</v>
      </c>
      <c r="C39" s="5">
        <v>0.9</v>
      </c>
      <c r="D39" s="5">
        <v>50</v>
      </c>
      <c r="E39" s="5">
        <v>10</v>
      </c>
      <c r="F39" s="7">
        <v>3.3423600000000007</v>
      </c>
      <c r="G39" s="6">
        <v>0.08</v>
      </c>
      <c r="H39" s="9">
        <f t="shared" si="1"/>
        <v>3.2623600000000006</v>
      </c>
    </row>
    <row r="40" spans="1:8">
      <c r="A40" s="5">
        <v>38</v>
      </c>
      <c r="B40" s="6" t="s">
        <v>255</v>
      </c>
      <c r="C40" s="5">
        <v>4.9000000000000004</v>
      </c>
      <c r="D40" s="5">
        <v>35</v>
      </c>
      <c r="E40" s="5">
        <v>10</v>
      </c>
      <c r="F40" s="7">
        <v>1.1638674810365506</v>
      </c>
      <c r="G40" s="6">
        <v>0.33</v>
      </c>
      <c r="H40" s="9">
        <f t="shared" si="1"/>
        <v>0.83386748103655051</v>
      </c>
    </row>
    <row r="41" spans="1:8">
      <c r="A41" s="5">
        <v>39</v>
      </c>
      <c r="B41" s="6" t="s">
        <v>256</v>
      </c>
      <c r="C41" s="5">
        <v>3</v>
      </c>
      <c r="D41" s="5">
        <v>50</v>
      </c>
      <c r="E41" s="5">
        <v>10</v>
      </c>
      <c r="F41" s="7">
        <v>2.4513722355448979</v>
      </c>
      <c r="G41" s="10">
        <f>0.25+0.007735+0.00492</f>
        <v>0.26265499999999997</v>
      </c>
      <c r="H41" s="9">
        <f t="shared" si="1"/>
        <v>2.1887172355448978</v>
      </c>
    </row>
    <row r="42" spans="1:8">
      <c r="A42" s="5">
        <v>40</v>
      </c>
      <c r="B42" s="6" t="s">
        <v>257</v>
      </c>
      <c r="C42" s="5">
        <v>4.2</v>
      </c>
      <c r="D42" s="5">
        <v>35</v>
      </c>
      <c r="E42" s="5">
        <v>10</v>
      </c>
      <c r="F42" s="7">
        <v>1.3578453945426425</v>
      </c>
      <c r="G42" s="6">
        <v>0.4</v>
      </c>
      <c r="H42" s="9">
        <f t="shared" si="1"/>
        <v>0.9578453945426425</v>
      </c>
    </row>
    <row r="43" spans="1:8">
      <c r="A43" s="5">
        <v>41</v>
      </c>
      <c r="B43" s="6" t="s">
        <v>258</v>
      </c>
      <c r="C43" s="5">
        <v>13.2</v>
      </c>
      <c r="D43" s="5">
        <v>35</v>
      </c>
      <c r="E43" s="5">
        <v>10</v>
      </c>
      <c r="F43" s="7">
        <v>0.43204171644538625</v>
      </c>
      <c r="G43" s="6">
        <v>0.08</v>
      </c>
      <c r="H43" s="9">
        <f t="shared" si="1"/>
        <v>0.35204171644538623</v>
      </c>
    </row>
    <row r="44" spans="1:8">
      <c r="A44" s="5">
        <v>42</v>
      </c>
      <c r="B44" s="6" t="s">
        <v>259</v>
      </c>
      <c r="C44" s="5">
        <v>39.340000000000003</v>
      </c>
      <c r="D44" s="5">
        <v>35</v>
      </c>
      <c r="E44" s="5">
        <v>10</v>
      </c>
      <c r="F44" s="7">
        <v>0.14496570048497961</v>
      </c>
      <c r="G44" s="6">
        <v>0.37</v>
      </c>
      <c r="H44" s="9">
        <f t="shared" si="1"/>
        <v>-0.22503429951502038</v>
      </c>
    </row>
    <row r="45" spans="1:8">
      <c r="A45" s="5">
        <v>43</v>
      </c>
      <c r="B45" s="6" t="s">
        <v>260</v>
      </c>
      <c r="C45" s="5">
        <v>13.95</v>
      </c>
      <c r="D45" s="5">
        <v>35</v>
      </c>
      <c r="E45" s="5">
        <v>10</v>
      </c>
      <c r="F45" s="7">
        <v>0.40881366717412893</v>
      </c>
      <c r="G45" s="6">
        <f>0.1+0.0873</f>
        <v>0.18730000000000002</v>
      </c>
      <c r="H45" s="9">
        <f t="shared" si="1"/>
        <v>0.2215136671741289</v>
      </c>
    </row>
    <row r="46" spans="1:8">
      <c r="A46" s="5">
        <v>44</v>
      </c>
      <c r="B46" s="6" t="s">
        <v>261</v>
      </c>
      <c r="C46" s="5">
        <v>1.89</v>
      </c>
      <c r="D46" s="5">
        <v>35</v>
      </c>
      <c r="E46" s="5">
        <v>10</v>
      </c>
      <c r="F46" s="7">
        <v>2.7853000000000003</v>
      </c>
      <c r="G46" s="6">
        <v>0.03</v>
      </c>
      <c r="H46" s="9">
        <f t="shared" si="1"/>
        <v>2.7553000000000005</v>
      </c>
    </row>
    <row r="47" spans="1:8">
      <c r="A47" s="5">
        <v>45</v>
      </c>
      <c r="B47" s="6" t="s">
        <v>262</v>
      </c>
      <c r="C47" s="5">
        <v>22.6</v>
      </c>
      <c r="D47" s="5">
        <v>25</v>
      </c>
      <c r="E47" s="5">
        <v>10</v>
      </c>
      <c r="F47" s="7">
        <v>0.1713730933811986</v>
      </c>
      <c r="G47" s="6">
        <v>0.02</v>
      </c>
      <c r="H47" s="9">
        <f t="shared" si="1"/>
        <v>0.15137309338119861</v>
      </c>
    </row>
    <row r="48" spans="1:8">
      <c r="A48" s="5">
        <v>46</v>
      </c>
      <c r="B48" s="6" t="s">
        <v>263</v>
      </c>
      <c r="C48" s="5">
        <v>1.9</v>
      </c>
      <c r="D48" s="5">
        <v>35</v>
      </c>
      <c r="E48" s="5">
        <v>10</v>
      </c>
      <c r="F48" s="7">
        <v>2.7853000000000003</v>
      </c>
      <c r="G48" s="6">
        <v>0.01</v>
      </c>
      <c r="H48" s="9">
        <f t="shared" si="1"/>
        <v>2.7753000000000005</v>
      </c>
    </row>
    <row r="49" spans="1:8">
      <c r="A49" s="5">
        <v>47</v>
      </c>
      <c r="B49" s="6" t="s">
        <v>264</v>
      </c>
      <c r="C49" s="5">
        <v>1.68</v>
      </c>
      <c r="D49" s="5">
        <v>35</v>
      </c>
      <c r="E49" s="5">
        <v>10</v>
      </c>
      <c r="F49" s="7">
        <v>2.7853000000000003</v>
      </c>
      <c r="G49" s="6">
        <v>0.02</v>
      </c>
      <c r="H49" s="9">
        <f t="shared" si="1"/>
        <v>2.7653000000000003</v>
      </c>
    </row>
    <row r="50" spans="1:8">
      <c r="A50" s="5">
        <v>48</v>
      </c>
      <c r="B50" s="6" t="s">
        <v>265</v>
      </c>
      <c r="C50" s="5">
        <v>2.5</v>
      </c>
      <c r="D50" s="5">
        <v>35</v>
      </c>
      <c r="E50" s="5">
        <v>10</v>
      </c>
      <c r="F50" s="7">
        <v>2.2811802628316391</v>
      </c>
      <c r="G50" s="6">
        <v>0.17</v>
      </c>
      <c r="H50" s="9">
        <f t="shared" si="1"/>
        <v>2.1111802628316392</v>
      </c>
    </row>
    <row r="51" spans="1:8">
      <c r="A51" s="5">
        <v>49</v>
      </c>
      <c r="B51" s="6" t="s">
        <v>266</v>
      </c>
      <c r="C51" s="5">
        <v>6.58</v>
      </c>
      <c r="D51" s="5">
        <v>35</v>
      </c>
      <c r="E51" s="5">
        <v>10</v>
      </c>
      <c r="F51" s="7">
        <v>0.86670982630381432</v>
      </c>
      <c r="G51" s="6">
        <v>0.02</v>
      </c>
      <c r="H51" s="9">
        <f t="shared" si="1"/>
        <v>0.84670982630381431</v>
      </c>
    </row>
    <row r="52" spans="1:8">
      <c r="A52" s="5">
        <v>50</v>
      </c>
      <c r="B52" s="6" t="s">
        <v>267</v>
      </c>
      <c r="C52" s="5">
        <v>5.6</v>
      </c>
      <c r="D52" s="5">
        <v>35</v>
      </c>
      <c r="E52" s="5">
        <v>10</v>
      </c>
      <c r="F52" s="7">
        <v>1.0183840459069817</v>
      </c>
      <c r="G52" s="6">
        <v>0.16</v>
      </c>
      <c r="H52" s="9">
        <f t="shared" si="1"/>
        <v>0.8583840459069817</v>
      </c>
    </row>
    <row r="53" spans="1:8">
      <c r="A53" s="5">
        <v>51</v>
      </c>
      <c r="B53" s="6" t="s">
        <v>268</v>
      </c>
      <c r="C53" s="5">
        <v>18.54</v>
      </c>
      <c r="D53" s="5">
        <v>25</v>
      </c>
      <c r="E53" s="5">
        <v>10</v>
      </c>
      <c r="F53" s="7">
        <v>0.20890139754126694</v>
      </c>
      <c r="G53" s="6">
        <v>0.06</v>
      </c>
      <c r="H53" s="9">
        <f t="shared" si="1"/>
        <v>0.14890139754126694</v>
      </c>
    </row>
    <row r="54" spans="1:8">
      <c r="A54" s="5">
        <v>52</v>
      </c>
      <c r="B54" s="6" t="s">
        <v>269</v>
      </c>
      <c r="C54" s="5">
        <v>3.2</v>
      </c>
      <c r="D54" s="5">
        <v>35</v>
      </c>
      <c r="E54" s="5">
        <v>10</v>
      </c>
      <c r="F54" s="7">
        <v>1.7821720803372179</v>
      </c>
      <c r="G54" s="6">
        <v>0.13</v>
      </c>
      <c r="H54" s="9">
        <f t="shared" si="1"/>
        <v>1.652172080337218</v>
      </c>
    </row>
    <row r="55" spans="1:8">
      <c r="A55" s="5">
        <v>53</v>
      </c>
      <c r="B55" s="6" t="s">
        <v>270</v>
      </c>
      <c r="C55" s="5">
        <v>6.4</v>
      </c>
      <c r="D55" s="5">
        <v>35</v>
      </c>
      <c r="E55" s="5">
        <v>10</v>
      </c>
      <c r="F55" s="7">
        <v>0.89108604016860893</v>
      </c>
      <c r="G55" s="6">
        <v>0.1</v>
      </c>
      <c r="H55" s="9">
        <f t="shared" si="1"/>
        <v>0.79108604016860895</v>
      </c>
    </row>
    <row r="56" spans="1:8">
      <c r="A56" s="5">
        <v>54</v>
      </c>
      <c r="B56" s="6" t="s">
        <v>271</v>
      </c>
      <c r="C56" s="5">
        <v>1.6</v>
      </c>
      <c r="D56" s="5">
        <v>35</v>
      </c>
      <c r="E56" s="5">
        <v>10</v>
      </c>
      <c r="F56" s="7">
        <v>2.7853000000000003</v>
      </c>
      <c r="G56" s="6">
        <v>7.0000000000000007E-2</v>
      </c>
      <c r="H56" s="9">
        <f t="shared" si="1"/>
        <v>2.7153000000000005</v>
      </c>
    </row>
    <row r="57" spans="1:8">
      <c r="A57" s="5">
        <v>55</v>
      </c>
      <c r="B57" s="6" t="s">
        <v>272</v>
      </c>
      <c r="C57" s="5">
        <v>8.1</v>
      </c>
      <c r="D57" s="5">
        <v>35</v>
      </c>
      <c r="E57" s="5">
        <v>10</v>
      </c>
      <c r="F57" s="7">
        <v>0.70406798235544421</v>
      </c>
      <c r="G57" s="6">
        <v>0.02</v>
      </c>
      <c r="H57" s="9">
        <f t="shared" si="1"/>
        <v>0.68406798235544419</v>
      </c>
    </row>
    <row r="58" spans="1:8">
      <c r="A58" s="5">
        <v>56</v>
      </c>
      <c r="B58" s="6" t="s">
        <v>273</v>
      </c>
      <c r="C58" s="5">
        <v>5.0999999999999996</v>
      </c>
      <c r="D58" s="5">
        <v>35</v>
      </c>
      <c r="E58" s="5">
        <v>10</v>
      </c>
      <c r="F58" s="7">
        <v>1.1182256190351172</v>
      </c>
      <c r="G58" s="6">
        <v>7.0000000000000007E-2</v>
      </c>
      <c r="H58" s="9">
        <f t="shared" si="1"/>
        <v>1.0482256190351171</v>
      </c>
    </row>
    <row r="59" spans="1:8">
      <c r="A59" s="5">
        <v>57</v>
      </c>
      <c r="B59" s="6" t="s">
        <v>274</v>
      </c>
      <c r="C59" s="5">
        <v>7.2</v>
      </c>
      <c r="D59" s="5">
        <v>35</v>
      </c>
      <c r="E59" s="5">
        <v>10</v>
      </c>
      <c r="F59" s="7">
        <v>0.79207648014987464</v>
      </c>
      <c r="G59" s="6">
        <v>0.02</v>
      </c>
      <c r="H59" s="9">
        <f t="shared" si="1"/>
        <v>0.77207648014987462</v>
      </c>
    </row>
    <row r="60" spans="1:8">
      <c r="A60" s="5">
        <v>58</v>
      </c>
      <c r="B60" s="6" t="s">
        <v>275</v>
      </c>
      <c r="C60" s="5">
        <v>10.25</v>
      </c>
      <c r="D60" s="5">
        <v>35</v>
      </c>
      <c r="E60" s="5">
        <v>10</v>
      </c>
      <c r="F60" s="7">
        <v>0.55638542995893647</v>
      </c>
      <c r="G60" s="6">
        <v>0.08</v>
      </c>
      <c r="H60" s="9">
        <f t="shared" si="1"/>
        <v>0.47638542995893646</v>
      </c>
    </row>
    <row r="61" spans="1:8">
      <c r="A61" s="5">
        <v>59</v>
      </c>
      <c r="B61" s="6" t="s">
        <v>276</v>
      </c>
      <c r="C61" s="5">
        <v>2.59</v>
      </c>
      <c r="D61" s="5">
        <v>35</v>
      </c>
      <c r="E61" s="5">
        <v>10</v>
      </c>
      <c r="F61" s="7">
        <v>2.2019114506096904</v>
      </c>
      <c r="G61" s="6">
        <v>0.12</v>
      </c>
      <c r="H61" s="9">
        <f t="shared" si="1"/>
        <v>2.0819114506096903</v>
      </c>
    </row>
    <row r="62" spans="1:8">
      <c r="A62" s="5">
        <v>60</v>
      </c>
      <c r="B62" s="6" t="s">
        <v>277</v>
      </c>
      <c r="C62" s="5">
        <v>3.8</v>
      </c>
      <c r="D62" s="5">
        <v>35</v>
      </c>
      <c r="E62" s="5">
        <v>10</v>
      </c>
      <c r="F62" s="7">
        <v>1.5007764887050257</v>
      </c>
      <c r="G62" s="6">
        <v>0.06</v>
      </c>
      <c r="H62" s="9">
        <f t="shared" si="1"/>
        <v>1.4407764887050256</v>
      </c>
    </row>
    <row r="63" spans="1:8">
      <c r="A63" s="5">
        <v>61</v>
      </c>
      <c r="B63" s="6" t="s">
        <v>278</v>
      </c>
      <c r="C63" s="5">
        <v>0.93</v>
      </c>
      <c r="D63" s="5">
        <v>35</v>
      </c>
      <c r="E63" s="5">
        <v>10</v>
      </c>
      <c r="F63" s="7">
        <v>2.7853000000000003</v>
      </c>
      <c r="G63" s="6">
        <v>0.02</v>
      </c>
      <c r="H63" s="9">
        <f t="shared" si="1"/>
        <v>2.7653000000000003</v>
      </c>
    </row>
    <row r="64" spans="1:8">
      <c r="A64" s="5">
        <v>62</v>
      </c>
      <c r="B64" s="6" t="s">
        <v>279</v>
      </c>
      <c r="C64" s="5">
        <v>17.8</v>
      </c>
      <c r="D64" s="5">
        <v>35</v>
      </c>
      <c r="E64" s="5">
        <v>10</v>
      </c>
      <c r="F64" s="7">
        <v>0.3203904863527583</v>
      </c>
      <c r="G64" s="6">
        <v>0.02</v>
      </c>
      <c r="H64" s="9">
        <f t="shared" si="1"/>
        <v>0.30039048635275828</v>
      </c>
    </row>
    <row r="65" spans="1:8">
      <c r="A65" s="5">
        <v>63</v>
      </c>
      <c r="B65" s="6" t="s">
        <v>280</v>
      </c>
      <c r="C65" s="5">
        <v>14.6</v>
      </c>
      <c r="D65" s="5">
        <v>35</v>
      </c>
      <c r="E65" s="5">
        <v>10</v>
      </c>
      <c r="F65" s="7">
        <v>0.39061305870404783</v>
      </c>
      <c r="G65" s="6">
        <v>0.13</v>
      </c>
      <c r="H65" s="9">
        <f t="shared" si="1"/>
        <v>0.26061305870404783</v>
      </c>
    </row>
    <row r="66" spans="1:8">
      <c r="A66" s="5">
        <v>64</v>
      </c>
      <c r="B66" s="6" t="s">
        <v>281</v>
      </c>
      <c r="C66" s="5">
        <v>0.66</v>
      </c>
      <c r="D66" s="5">
        <v>35</v>
      </c>
      <c r="E66" s="5">
        <v>10</v>
      </c>
      <c r="F66" s="7">
        <v>2.7853000000000003</v>
      </c>
      <c r="G66" s="6">
        <v>0.03</v>
      </c>
      <c r="H66" s="9">
        <f t="shared" si="1"/>
        <v>2.7553000000000005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topLeftCell="B1" zoomScale="130" zoomScaleNormal="100" zoomScaleSheetLayoutView="130" workbookViewId="0">
      <pane xSplit="1" ySplit="2" topLeftCell="C6" activePane="bottomRight" state="frozen"/>
      <selection activeCell="B1" sqref="B1"/>
      <selection pane="topRight" activeCell="C1" sqref="C1"/>
      <selection pane="bottomLeft" activeCell="B3" sqref="B3"/>
      <selection pane="bottomRight" activeCell="C20" sqref="C20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282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283</v>
      </c>
      <c r="C3" s="5">
        <v>9</v>
      </c>
      <c r="D3" s="5">
        <v>35</v>
      </c>
      <c r="E3" s="5">
        <v>10</v>
      </c>
      <c r="F3" s="7">
        <v>0.6336611841198998</v>
      </c>
      <c r="G3" s="14">
        <f>0.06+0.00519</f>
        <v>6.5189999999999998E-2</v>
      </c>
      <c r="H3" s="9">
        <f>F3-G3</f>
        <v>0.56847118411989983</v>
      </c>
    </row>
    <row r="4" spans="1:9">
      <c r="A4" s="5">
        <v>2</v>
      </c>
      <c r="B4" s="6" t="s">
        <v>284</v>
      </c>
      <c r="C4" s="5">
        <v>4.7</v>
      </c>
      <c r="D4" s="5">
        <v>35</v>
      </c>
      <c r="E4" s="5">
        <v>10</v>
      </c>
      <c r="F4" s="7">
        <v>1.2133937568253399</v>
      </c>
      <c r="G4" s="6">
        <v>0.08</v>
      </c>
      <c r="H4" s="9">
        <f t="shared" ref="H4:H54" si="0">F4-G4</f>
        <v>1.1333937568253398</v>
      </c>
    </row>
    <row r="5" spans="1:9">
      <c r="A5" s="5">
        <v>3</v>
      </c>
      <c r="B5" s="6" t="s">
        <v>285</v>
      </c>
      <c r="C5" s="5">
        <v>1.5</v>
      </c>
      <c r="D5" s="5">
        <v>50</v>
      </c>
      <c r="E5" s="5">
        <v>10</v>
      </c>
      <c r="F5" s="7">
        <v>3.3423600000000007</v>
      </c>
      <c r="G5" s="6">
        <v>2E-3</v>
      </c>
      <c r="H5" s="9">
        <f t="shared" si="0"/>
        <v>3.3403600000000009</v>
      </c>
    </row>
    <row r="6" spans="1:9">
      <c r="A6" s="5">
        <v>4</v>
      </c>
      <c r="B6" s="6" t="s">
        <v>286</v>
      </c>
      <c r="C6" s="5">
        <v>13.11</v>
      </c>
      <c r="D6" s="5">
        <v>35</v>
      </c>
      <c r="E6" s="5">
        <v>10</v>
      </c>
      <c r="F6" s="7">
        <v>0.4350076778855147</v>
      </c>
      <c r="G6" s="6">
        <v>2E-3</v>
      </c>
      <c r="H6" s="9">
        <f t="shared" si="0"/>
        <v>0.4330076778855147</v>
      </c>
    </row>
    <row r="7" spans="1:9">
      <c r="A7" s="5">
        <v>5</v>
      </c>
      <c r="B7" s="6" t="s">
        <v>287</v>
      </c>
      <c r="C7" s="5">
        <v>1.8</v>
      </c>
      <c r="D7" s="5">
        <v>35</v>
      </c>
      <c r="E7" s="5">
        <v>10</v>
      </c>
      <c r="F7" s="7">
        <v>2.7853000000000003</v>
      </c>
      <c r="G7" s="6">
        <v>3.0000000000000001E-3</v>
      </c>
      <c r="H7" s="9">
        <f t="shared" si="0"/>
        <v>2.7823000000000002</v>
      </c>
    </row>
    <row r="8" spans="1:9">
      <c r="A8" s="5">
        <v>6</v>
      </c>
      <c r="B8" s="6" t="s">
        <v>288</v>
      </c>
      <c r="C8" s="5">
        <v>0.56000000000000005</v>
      </c>
      <c r="D8" s="5">
        <v>35</v>
      </c>
      <c r="E8" s="5">
        <v>10</v>
      </c>
      <c r="F8" s="7">
        <v>2.7853000000000003</v>
      </c>
      <c r="G8" s="6">
        <v>1.7000000000000001E-2</v>
      </c>
      <c r="H8" s="9">
        <f t="shared" si="0"/>
        <v>2.7683000000000004</v>
      </c>
    </row>
    <row r="9" spans="1:9">
      <c r="A9" s="5">
        <v>7</v>
      </c>
      <c r="B9" s="6" t="s">
        <v>289</v>
      </c>
      <c r="C9" s="5">
        <v>7.3</v>
      </c>
      <c r="D9" s="5">
        <v>35</v>
      </c>
      <c r="E9" s="5">
        <v>10</v>
      </c>
      <c r="F9" s="7">
        <v>0.78122611740809567</v>
      </c>
      <c r="G9" s="6">
        <v>1.4999999999999999E-2</v>
      </c>
      <c r="H9" s="9">
        <f t="shared" si="0"/>
        <v>0.76622611740809565</v>
      </c>
    </row>
    <row r="10" spans="1:9">
      <c r="A10" s="5">
        <v>8</v>
      </c>
      <c r="B10" s="6" t="s">
        <v>290</v>
      </c>
      <c r="C10" s="5">
        <v>2.92</v>
      </c>
      <c r="D10" s="5">
        <v>35</v>
      </c>
      <c r="E10" s="5">
        <v>10</v>
      </c>
      <c r="F10" s="7">
        <v>1.9530652935202393</v>
      </c>
      <c r="G10" s="6">
        <v>5.0000000000000001E-3</v>
      </c>
      <c r="H10" s="9">
        <f t="shared" si="0"/>
        <v>1.9480652935202394</v>
      </c>
    </row>
    <row r="11" spans="1:9">
      <c r="A11" s="5">
        <v>9</v>
      </c>
      <c r="B11" s="6" t="s">
        <v>291</v>
      </c>
      <c r="C11" s="5">
        <v>3.9</v>
      </c>
      <c r="D11" s="5">
        <v>35</v>
      </c>
      <c r="E11" s="5">
        <v>10</v>
      </c>
      <c r="F11" s="7">
        <v>1.4622950402766917</v>
      </c>
      <c r="G11" s="10">
        <f>0.066+0.0159</f>
        <v>8.1900000000000001E-2</v>
      </c>
      <c r="H11" s="9">
        <f t="shared" si="0"/>
        <v>1.3803950402766916</v>
      </c>
    </row>
    <row r="12" spans="1:9">
      <c r="A12" s="5">
        <v>10</v>
      </c>
      <c r="B12" s="6" t="s">
        <v>292</v>
      </c>
      <c r="C12" s="5">
        <v>2.4500000000000002</v>
      </c>
      <c r="D12" s="5">
        <v>35</v>
      </c>
      <c r="E12" s="5">
        <v>10</v>
      </c>
      <c r="F12" s="7">
        <v>2.3277349620731012</v>
      </c>
      <c r="G12" s="6">
        <v>0.02</v>
      </c>
      <c r="H12" s="9">
        <f t="shared" si="0"/>
        <v>2.3077349620731011</v>
      </c>
    </row>
    <row r="13" spans="1:9">
      <c r="A13" s="5">
        <v>11</v>
      </c>
      <c r="B13" s="6" t="s">
        <v>293</v>
      </c>
      <c r="C13" s="5">
        <v>12.54</v>
      </c>
      <c r="D13" s="5">
        <v>35</v>
      </c>
      <c r="E13" s="5">
        <v>10</v>
      </c>
      <c r="F13" s="7">
        <v>0.45478075415303815</v>
      </c>
      <c r="G13" s="6">
        <f>0.07+0.0058</f>
        <v>7.5800000000000006E-2</v>
      </c>
      <c r="H13" s="9">
        <f t="shared" si="0"/>
        <v>0.37898075415303811</v>
      </c>
    </row>
    <row r="14" spans="1:9">
      <c r="A14" s="5">
        <v>12</v>
      </c>
      <c r="B14" s="6" t="s">
        <v>294</v>
      </c>
      <c r="C14" s="5">
        <v>1.85</v>
      </c>
      <c r="D14" s="5">
        <v>35</v>
      </c>
      <c r="E14" s="5">
        <v>10</v>
      </c>
      <c r="F14" s="7">
        <v>2.7853000000000003</v>
      </c>
      <c r="G14" s="6">
        <v>0.03</v>
      </c>
      <c r="H14" s="9">
        <f t="shared" si="0"/>
        <v>2.7553000000000005</v>
      </c>
    </row>
    <row r="15" spans="1:9">
      <c r="A15" s="5">
        <v>13</v>
      </c>
      <c r="B15" s="6" t="s">
        <v>295</v>
      </c>
      <c r="C15" s="5">
        <v>2.8</v>
      </c>
      <c r="D15" s="5">
        <v>50</v>
      </c>
      <c r="E15" s="5">
        <v>10</v>
      </c>
      <c r="F15" s="7">
        <v>2.6264702523695336</v>
      </c>
      <c r="G15" s="6">
        <f>0.05+0.00207</f>
        <v>5.2070000000000005E-2</v>
      </c>
      <c r="H15" s="9">
        <f t="shared" si="0"/>
        <v>2.5744002523695335</v>
      </c>
    </row>
    <row r="16" spans="1:9">
      <c r="A16" s="5">
        <v>14</v>
      </c>
      <c r="B16" s="6" t="s">
        <v>296</v>
      </c>
      <c r="C16" s="5">
        <v>3.76</v>
      </c>
      <c r="D16" s="5">
        <v>35</v>
      </c>
      <c r="E16" s="5">
        <v>10</v>
      </c>
      <c r="F16" s="7">
        <v>1.5167421960316749</v>
      </c>
      <c r="G16" s="6">
        <v>2E-3</v>
      </c>
      <c r="H16" s="9">
        <f t="shared" si="0"/>
        <v>1.5147421960316749</v>
      </c>
    </row>
    <row r="17" spans="1:8">
      <c r="A17" s="5">
        <v>15</v>
      </c>
      <c r="B17" s="6" t="s">
        <v>297</v>
      </c>
      <c r="C17" s="5">
        <v>0.27</v>
      </c>
      <c r="D17" s="5">
        <v>35</v>
      </c>
      <c r="E17" s="5">
        <v>10</v>
      </c>
      <c r="F17" s="7">
        <v>2.7853000000000003</v>
      </c>
      <c r="G17" s="6">
        <v>0</v>
      </c>
      <c r="H17" s="9">
        <f t="shared" si="0"/>
        <v>2.7853000000000003</v>
      </c>
    </row>
    <row r="18" spans="1:8">
      <c r="A18" s="5">
        <v>16</v>
      </c>
      <c r="B18" s="6" t="s">
        <v>298</v>
      </c>
      <c r="C18" s="5">
        <v>3.56</v>
      </c>
      <c r="D18" s="5">
        <v>35</v>
      </c>
      <c r="E18" s="5">
        <v>10</v>
      </c>
      <c r="F18" s="7">
        <v>1.6019524317637914</v>
      </c>
      <c r="G18" s="6">
        <v>1.7000000000000001E-2</v>
      </c>
      <c r="H18" s="9">
        <f t="shared" si="0"/>
        <v>1.5849524317637915</v>
      </c>
    </row>
    <row r="19" spans="1:8">
      <c r="A19" s="5">
        <v>17</v>
      </c>
      <c r="B19" s="6" t="s">
        <v>299</v>
      </c>
      <c r="C19" s="5">
        <v>8.5500000000000007</v>
      </c>
      <c r="D19" s="5">
        <v>70</v>
      </c>
      <c r="E19" s="5">
        <v>10</v>
      </c>
      <c r="F19" s="7">
        <v>1.1847868220797904</v>
      </c>
      <c r="G19" s="6">
        <v>0.02</v>
      </c>
      <c r="H19" s="9">
        <f t="shared" si="0"/>
        <v>1.1647868220797903</v>
      </c>
    </row>
    <row r="20" spans="1:8">
      <c r="A20" s="5">
        <v>18</v>
      </c>
      <c r="B20" s="6" t="s">
        <v>300</v>
      </c>
      <c r="C20" s="5">
        <v>13.015000000000001</v>
      </c>
      <c r="D20" s="5">
        <v>35</v>
      </c>
      <c r="E20" s="5">
        <v>10</v>
      </c>
      <c r="F20" s="7">
        <v>0.4381829164102265</v>
      </c>
      <c r="G20" s="6">
        <v>0.02</v>
      </c>
      <c r="H20" s="9">
        <f t="shared" si="0"/>
        <v>0.41818291641022648</v>
      </c>
    </row>
    <row r="21" spans="1:8">
      <c r="A21" s="5">
        <v>19</v>
      </c>
      <c r="B21" s="6" t="s">
        <v>301</v>
      </c>
      <c r="C21" s="5">
        <v>1.4</v>
      </c>
      <c r="D21" s="5">
        <v>35</v>
      </c>
      <c r="E21" s="5">
        <v>10</v>
      </c>
      <c r="F21" s="7">
        <v>2.7853000000000003</v>
      </c>
      <c r="G21" s="6">
        <v>0.08</v>
      </c>
      <c r="H21" s="9">
        <f t="shared" si="0"/>
        <v>2.7053000000000003</v>
      </c>
    </row>
    <row r="22" spans="1:8">
      <c r="A22" s="5">
        <v>20</v>
      </c>
      <c r="B22" s="6" t="s">
        <v>302</v>
      </c>
      <c r="C22" s="5">
        <v>3.9</v>
      </c>
      <c r="D22" s="5">
        <v>35</v>
      </c>
      <c r="E22" s="5">
        <v>10</v>
      </c>
      <c r="F22" s="7">
        <v>1.4622950402766917</v>
      </c>
      <c r="G22" s="6">
        <v>0.02</v>
      </c>
      <c r="H22" s="9">
        <f t="shared" si="0"/>
        <v>1.4422950402766916</v>
      </c>
    </row>
    <row r="23" spans="1:8">
      <c r="A23" s="5">
        <v>21</v>
      </c>
      <c r="B23" s="6" t="s">
        <v>303</v>
      </c>
      <c r="C23" s="5">
        <v>8.25</v>
      </c>
      <c r="D23" s="5">
        <v>35</v>
      </c>
      <c r="E23" s="5">
        <v>10</v>
      </c>
      <c r="F23" s="7">
        <v>0.69126674631261786</v>
      </c>
      <c r="G23" s="10">
        <f>0.24+0.00049</f>
        <v>0.24048999999999998</v>
      </c>
      <c r="H23" s="9">
        <f t="shared" si="0"/>
        <v>0.45077674631261788</v>
      </c>
    </row>
    <row r="24" spans="1:8">
      <c r="A24" s="5">
        <v>22</v>
      </c>
      <c r="B24" s="6" t="s">
        <v>304</v>
      </c>
      <c r="C24" s="5">
        <v>2.76</v>
      </c>
      <c r="D24" s="5">
        <v>35</v>
      </c>
      <c r="E24" s="5">
        <v>10</v>
      </c>
      <c r="F24" s="7">
        <v>2.0662864699561951</v>
      </c>
      <c r="G24" s="6">
        <v>0.04</v>
      </c>
      <c r="H24" s="9">
        <f t="shared" si="0"/>
        <v>2.0262864699561951</v>
      </c>
    </row>
    <row r="25" spans="1:8">
      <c r="A25" s="5">
        <v>23</v>
      </c>
      <c r="B25" s="6" t="s">
        <v>305</v>
      </c>
      <c r="C25" s="5">
        <v>12.74</v>
      </c>
      <c r="D25" s="5">
        <v>35</v>
      </c>
      <c r="E25" s="5">
        <v>10</v>
      </c>
      <c r="F25" s="7">
        <v>0.44764133886021173</v>
      </c>
      <c r="G25" s="6">
        <v>0.14000000000000001</v>
      </c>
      <c r="H25" s="9">
        <f t="shared" si="0"/>
        <v>0.30764133886021172</v>
      </c>
    </row>
    <row r="26" spans="1:8">
      <c r="A26" s="5">
        <v>24</v>
      </c>
      <c r="B26" s="6" t="s">
        <v>306</v>
      </c>
      <c r="C26" s="5">
        <v>3.59</v>
      </c>
      <c r="D26" s="5">
        <v>35</v>
      </c>
      <c r="E26" s="5">
        <v>10</v>
      </c>
      <c r="F26" s="7">
        <v>1.5885656426404173</v>
      </c>
      <c r="G26" s="6">
        <v>0.04</v>
      </c>
      <c r="H26" s="9">
        <f t="shared" si="0"/>
        <v>1.5485656426404173</v>
      </c>
    </row>
    <row r="27" spans="1:8">
      <c r="A27" s="5">
        <v>25</v>
      </c>
      <c r="B27" s="6" t="s">
        <v>307</v>
      </c>
      <c r="C27" s="5">
        <v>1.35</v>
      </c>
      <c r="D27" s="5">
        <v>50</v>
      </c>
      <c r="E27" s="5">
        <v>10</v>
      </c>
      <c r="F27" s="7">
        <v>3.3423600000000007</v>
      </c>
      <c r="G27" s="6">
        <v>0.13</v>
      </c>
      <c r="H27" s="9">
        <f t="shared" si="0"/>
        <v>3.2123600000000008</v>
      </c>
    </row>
    <row r="28" spans="1:8">
      <c r="A28" s="5">
        <v>26</v>
      </c>
      <c r="B28" s="6" t="s">
        <v>308</v>
      </c>
      <c r="C28" s="5">
        <v>1</v>
      </c>
      <c r="D28" s="5">
        <v>50</v>
      </c>
      <c r="E28" s="5">
        <v>10</v>
      </c>
      <c r="F28" s="7">
        <v>3.3423600000000007</v>
      </c>
      <c r="G28" s="6">
        <v>0</v>
      </c>
      <c r="H28" s="9">
        <f t="shared" si="0"/>
        <v>3.3423600000000007</v>
      </c>
    </row>
    <row r="29" spans="1:8">
      <c r="A29" s="5">
        <v>27</v>
      </c>
      <c r="B29" s="6" t="s">
        <v>309</v>
      </c>
      <c r="C29" s="5">
        <v>4.9800000000000004</v>
      </c>
      <c r="D29" s="5">
        <v>35</v>
      </c>
      <c r="E29" s="5">
        <v>10</v>
      </c>
      <c r="F29" s="7">
        <v>1.1451708146745176</v>
      </c>
      <c r="G29" s="6">
        <v>0.02</v>
      </c>
      <c r="H29" s="9">
        <f t="shared" si="0"/>
        <v>1.1251708146745176</v>
      </c>
    </row>
    <row r="30" spans="1:8">
      <c r="A30" s="5">
        <v>28</v>
      </c>
      <c r="B30" s="6" t="s">
        <v>310</v>
      </c>
      <c r="C30" s="5">
        <v>2.2999999999999998</v>
      </c>
      <c r="D30" s="5">
        <v>35</v>
      </c>
      <c r="E30" s="5">
        <v>10</v>
      </c>
      <c r="F30" s="7">
        <v>2.4795437639474338</v>
      </c>
      <c r="G30" s="6">
        <f>0.064+0.0164</f>
        <v>8.0399999999999999E-2</v>
      </c>
      <c r="H30" s="9">
        <f t="shared" si="0"/>
        <v>2.3991437639474338</v>
      </c>
    </row>
    <row r="31" spans="1:8">
      <c r="A31" s="5">
        <v>29</v>
      </c>
      <c r="B31" s="6" t="s">
        <v>311</v>
      </c>
      <c r="C31" s="5">
        <v>1.28</v>
      </c>
      <c r="D31" s="5">
        <v>35</v>
      </c>
      <c r="E31" s="5">
        <v>10</v>
      </c>
      <c r="F31" s="7">
        <v>2.7853000000000003</v>
      </c>
      <c r="G31" s="6">
        <v>2E-3</v>
      </c>
      <c r="H31" s="9">
        <f t="shared" si="0"/>
        <v>2.7833000000000006</v>
      </c>
    </row>
    <row r="32" spans="1:8">
      <c r="A32" s="5">
        <v>30</v>
      </c>
      <c r="B32" s="6" t="s">
        <v>312</v>
      </c>
      <c r="C32" s="5">
        <v>0.7</v>
      </c>
      <c r="D32" s="5">
        <v>35</v>
      </c>
      <c r="E32" s="5">
        <v>10</v>
      </c>
      <c r="F32" s="7">
        <v>2.7853000000000003</v>
      </c>
      <c r="G32" s="6">
        <v>2E-3</v>
      </c>
      <c r="H32" s="9">
        <f t="shared" si="0"/>
        <v>2.7833000000000006</v>
      </c>
    </row>
    <row r="33" spans="1:8">
      <c r="A33" s="5">
        <v>31</v>
      </c>
      <c r="B33" s="6" t="s">
        <v>313</v>
      </c>
      <c r="C33" s="5">
        <v>18.72</v>
      </c>
      <c r="D33" s="5">
        <v>35</v>
      </c>
      <c r="E33" s="5">
        <v>10</v>
      </c>
      <c r="F33" s="7">
        <v>0.30464480005764416</v>
      </c>
      <c r="G33" s="6">
        <v>2E-3</v>
      </c>
      <c r="H33" s="9">
        <f t="shared" si="0"/>
        <v>0.30264480005764416</v>
      </c>
    </row>
    <row r="34" spans="1:8">
      <c r="A34" s="5">
        <v>32</v>
      </c>
      <c r="B34" s="6" t="s">
        <v>314</v>
      </c>
      <c r="C34" s="5">
        <v>1.2</v>
      </c>
      <c r="D34" s="5">
        <v>35</v>
      </c>
      <c r="E34" s="5">
        <v>10</v>
      </c>
      <c r="F34" s="7">
        <v>2.7853000000000003</v>
      </c>
      <c r="G34" s="6">
        <f>0.005+0.15</f>
        <v>0.155</v>
      </c>
      <c r="H34" s="9">
        <f t="shared" si="0"/>
        <v>2.6303000000000005</v>
      </c>
    </row>
    <row r="35" spans="1:8">
      <c r="A35" s="5">
        <v>33</v>
      </c>
      <c r="B35" s="6" t="s">
        <v>315</v>
      </c>
      <c r="C35" s="5">
        <v>3.6</v>
      </c>
      <c r="D35" s="5">
        <v>35</v>
      </c>
      <c r="E35" s="5">
        <v>10</v>
      </c>
      <c r="F35" s="7">
        <v>1.5841529602997493</v>
      </c>
      <c r="G35" s="6">
        <v>0</v>
      </c>
      <c r="H35" s="9">
        <f t="shared" si="0"/>
        <v>1.5841529602997493</v>
      </c>
    </row>
    <row r="36" spans="1:8">
      <c r="A36" s="5">
        <v>34</v>
      </c>
      <c r="B36" s="6" t="s">
        <v>316</v>
      </c>
      <c r="C36" s="5">
        <v>15.14</v>
      </c>
      <c r="D36" s="5">
        <v>35</v>
      </c>
      <c r="E36" s="5">
        <v>10</v>
      </c>
      <c r="F36" s="7">
        <v>0.37668102094313727</v>
      </c>
      <c r="G36" s="6">
        <v>2E-3</v>
      </c>
      <c r="H36" s="9">
        <f t="shared" si="0"/>
        <v>0.37468102094313727</v>
      </c>
    </row>
    <row r="37" spans="1:8">
      <c r="A37" s="5">
        <v>35</v>
      </c>
      <c r="B37" s="6" t="s">
        <v>317</v>
      </c>
      <c r="C37" s="5">
        <v>1.2</v>
      </c>
      <c r="D37" s="5">
        <v>35</v>
      </c>
      <c r="E37" s="5">
        <v>10</v>
      </c>
      <c r="F37" s="7">
        <v>2.7853000000000003</v>
      </c>
      <c r="G37" s="6">
        <v>2.4E-2</v>
      </c>
      <c r="H37" s="9">
        <f t="shared" si="0"/>
        <v>2.7613000000000003</v>
      </c>
    </row>
    <row r="38" spans="1:8">
      <c r="A38" s="5">
        <v>36</v>
      </c>
      <c r="B38" s="6" t="s">
        <v>318</v>
      </c>
      <c r="C38" s="5">
        <v>2.5099999999999998</v>
      </c>
      <c r="D38" s="5">
        <v>35</v>
      </c>
      <c r="E38" s="5">
        <v>10</v>
      </c>
      <c r="F38" s="7">
        <v>2.2720918952506373</v>
      </c>
      <c r="G38" s="6">
        <v>2E-3</v>
      </c>
      <c r="H38" s="9">
        <f t="shared" si="0"/>
        <v>2.2700918952506375</v>
      </c>
    </row>
    <row r="39" spans="1:8">
      <c r="A39" s="5">
        <v>37</v>
      </c>
      <c r="B39" s="6" t="s">
        <v>319</v>
      </c>
      <c r="C39" s="5">
        <v>3.85</v>
      </c>
      <c r="D39" s="5">
        <v>35</v>
      </c>
      <c r="E39" s="5">
        <v>10</v>
      </c>
      <c r="F39" s="7">
        <v>1.4812858849556099</v>
      </c>
      <c r="G39" s="6">
        <v>0.02</v>
      </c>
      <c r="H39" s="9">
        <f t="shared" si="0"/>
        <v>1.4612858849556098</v>
      </c>
    </row>
    <row r="40" spans="1:8">
      <c r="A40" s="5">
        <v>38</v>
      </c>
      <c r="B40" s="6" t="s">
        <v>320</v>
      </c>
      <c r="C40" s="5">
        <v>2.38</v>
      </c>
      <c r="D40" s="5">
        <v>35</v>
      </c>
      <c r="E40" s="5">
        <v>10</v>
      </c>
      <c r="F40" s="7">
        <v>2.3961977550752511</v>
      </c>
      <c r="G40" s="6">
        <v>0.02</v>
      </c>
      <c r="H40" s="9">
        <f t="shared" si="0"/>
        <v>2.3761977550752511</v>
      </c>
    </row>
    <row r="41" spans="1:8">
      <c r="A41" s="5">
        <v>39</v>
      </c>
      <c r="B41" s="6" t="s">
        <v>321</v>
      </c>
      <c r="C41" s="5">
        <v>0.16</v>
      </c>
      <c r="D41" s="5">
        <v>35</v>
      </c>
      <c r="E41" s="5">
        <v>10</v>
      </c>
      <c r="F41" s="7">
        <v>2.7853000000000003</v>
      </c>
      <c r="G41" s="6">
        <v>0</v>
      </c>
      <c r="H41" s="9">
        <f t="shared" si="0"/>
        <v>2.7853000000000003</v>
      </c>
    </row>
    <row r="42" spans="1:8">
      <c r="A42" s="5">
        <v>40</v>
      </c>
      <c r="B42" s="6" t="s">
        <v>322</v>
      </c>
      <c r="C42" s="5">
        <v>5.4</v>
      </c>
      <c r="D42" s="5">
        <v>35</v>
      </c>
      <c r="E42" s="5">
        <v>10</v>
      </c>
      <c r="F42" s="7">
        <v>1.056101973533166</v>
      </c>
      <c r="G42" s="6">
        <v>0.01</v>
      </c>
      <c r="H42" s="9">
        <f t="shared" si="0"/>
        <v>1.046101973533166</v>
      </c>
    </row>
    <row r="43" spans="1:8">
      <c r="A43" s="5">
        <v>41</v>
      </c>
      <c r="B43" s="6" t="s">
        <v>323</v>
      </c>
      <c r="C43" s="5">
        <v>6.09</v>
      </c>
      <c r="D43" s="5">
        <v>35</v>
      </c>
      <c r="E43" s="5">
        <v>10</v>
      </c>
      <c r="F43" s="7">
        <v>0.93644509968458089</v>
      </c>
      <c r="G43" s="6">
        <v>0.05</v>
      </c>
      <c r="H43" s="9">
        <f t="shared" si="0"/>
        <v>0.88644509968458085</v>
      </c>
    </row>
    <row r="44" spans="1:8">
      <c r="A44" s="5">
        <v>42</v>
      </c>
      <c r="B44" s="6" t="s">
        <v>324</v>
      </c>
      <c r="C44" s="5">
        <v>2.86</v>
      </c>
      <c r="D44" s="5">
        <v>35</v>
      </c>
      <c r="E44" s="5">
        <v>10</v>
      </c>
      <c r="F44" s="7">
        <v>1.9940386912863983</v>
      </c>
      <c r="G44" s="10">
        <f>0.04+0.00935</f>
        <v>4.9350000000000005E-2</v>
      </c>
      <c r="H44" s="9">
        <f t="shared" si="0"/>
        <v>1.9446886912863983</v>
      </c>
    </row>
    <row r="45" spans="1:8">
      <c r="A45" s="5">
        <v>43</v>
      </c>
      <c r="B45" s="6" t="s">
        <v>325</v>
      </c>
      <c r="C45" s="5">
        <v>0.73</v>
      </c>
      <c r="D45" s="5">
        <v>35</v>
      </c>
      <c r="E45" s="5">
        <v>10</v>
      </c>
      <c r="F45" s="7">
        <v>2.7853000000000003</v>
      </c>
      <c r="G45" s="6">
        <v>0.01</v>
      </c>
      <c r="H45" s="9">
        <f t="shared" si="0"/>
        <v>2.7753000000000005</v>
      </c>
    </row>
    <row r="46" spans="1:8">
      <c r="A46" s="5">
        <v>44</v>
      </c>
      <c r="B46" s="6" t="s">
        <v>326</v>
      </c>
      <c r="C46" s="5">
        <v>4.4000000000000004</v>
      </c>
      <c r="D46" s="5">
        <v>35</v>
      </c>
      <c r="E46" s="5">
        <v>10</v>
      </c>
      <c r="F46" s="7">
        <v>1.2961251493361585</v>
      </c>
      <c r="G46" s="6">
        <v>0.03</v>
      </c>
      <c r="H46" s="9">
        <f t="shared" si="0"/>
        <v>1.2661251493361585</v>
      </c>
    </row>
    <row r="47" spans="1:8">
      <c r="A47" s="5">
        <v>45</v>
      </c>
      <c r="B47" s="6" t="s">
        <v>327</v>
      </c>
      <c r="C47" s="5">
        <v>0.73</v>
      </c>
      <c r="D47" s="5">
        <v>35</v>
      </c>
      <c r="E47" s="5">
        <v>10</v>
      </c>
      <c r="F47" s="7">
        <v>2.7853000000000003</v>
      </c>
      <c r="G47" s="6">
        <v>0</v>
      </c>
      <c r="H47" s="9">
        <f t="shared" si="0"/>
        <v>2.7853000000000003</v>
      </c>
    </row>
    <row r="48" spans="1:8">
      <c r="A48" s="5">
        <v>46</v>
      </c>
      <c r="B48" s="6" t="s">
        <v>328</v>
      </c>
      <c r="C48" s="5">
        <v>1.1200000000000001</v>
      </c>
      <c r="D48" s="5">
        <v>35</v>
      </c>
      <c r="E48" s="5">
        <v>10</v>
      </c>
      <c r="F48" s="7">
        <v>2.7853000000000003</v>
      </c>
      <c r="G48" s="6">
        <v>0.01</v>
      </c>
      <c r="H48" s="9">
        <f t="shared" si="0"/>
        <v>2.7753000000000005</v>
      </c>
    </row>
    <row r="49" spans="1:8">
      <c r="A49" s="5">
        <v>47</v>
      </c>
      <c r="B49" s="6" t="s">
        <v>329</v>
      </c>
      <c r="C49" s="5">
        <v>1.58</v>
      </c>
      <c r="D49" s="5">
        <v>35</v>
      </c>
      <c r="E49" s="5">
        <v>10</v>
      </c>
      <c r="F49" s="7">
        <v>2.7853000000000003</v>
      </c>
      <c r="G49" s="6">
        <v>0.02</v>
      </c>
      <c r="H49" s="9">
        <f t="shared" si="0"/>
        <v>2.7653000000000003</v>
      </c>
    </row>
    <row r="50" spans="1:8">
      <c r="A50" s="5">
        <v>48</v>
      </c>
      <c r="B50" s="6" t="s">
        <v>330</v>
      </c>
      <c r="C50" s="5">
        <v>0.6</v>
      </c>
      <c r="D50" s="5">
        <v>35</v>
      </c>
      <c r="E50" s="5">
        <v>10</v>
      </c>
      <c r="F50" s="7">
        <v>2.7853000000000003</v>
      </c>
      <c r="G50" s="6">
        <v>0.02</v>
      </c>
      <c r="H50" s="9">
        <f t="shared" si="0"/>
        <v>2.7653000000000003</v>
      </c>
    </row>
    <row r="51" spans="1:8">
      <c r="A51" s="5">
        <v>49</v>
      </c>
      <c r="B51" s="6" t="s">
        <v>331</v>
      </c>
      <c r="C51" s="5">
        <v>37.64</v>
      </c>
      <c r="D51" s="5">
        <v>35</v>
      </c>
      <c r="E51" s="5">
        <v>10</v>
      </c>
      <c r="F51" s="7">
        <v>0.15151303552282408</v>
      </c>
      <c r="G51" s="6">
        <v>0.03</v>
      </c>
      <c r="H51" s="9">
        <f t="shared" si="0"/>
        <v>0.12151303552282408</v>
      </c>
    </row>
    <row r="52" spans="1:8">
      <c r="A52" s="5">
        <v>50</v>
      </c>
      <c r="B52" s="6" t="s">
        <v>332</v>
      </c>
      <c r="C52" s="5">
        <v>2.0299999999999998</v>
      </c>
      <c r="D52" s="5">
        <v>35</v>
      </c>
      <c r="E52" s="5">
        <v>10</v>
      </c>
      <c r="F52" s="7">
        <v>2.7853000000000003</v>
      </c>
      <c r="G52" s="6">
        <v>0.06</v>
      </c>
      <c r="H52" s="9">
        <f t="shared" si="0"/>
        <v>2.7253000000000003</v>
      </c>
    </row>
    <row r="53" spans="1:8">
      <c r="A53" s="5">
        <v>51</v>
      </c>
      <c r="B53" s="6" t="s">
        <v>333</v>
      </c>
      <c r="C53" s="5">
        <v>1.3</v>
      </c>
      <c r="D53" s="5">
        <v>35</v>
      </c>
      <c r="E53" s="5">
        <v>10</v>
      </c>
      <c r="F53" s="7">
        <v>2.7853000000000003</v>
      </c>
      <c r="G53" s="6">
        <v>0.03</v>
      </c>
      <c r="H53" s="9">
        <f t="shared" si="0"/>
        <v>2.7553000000000005</v>
      </c>
    </row>
    <row r="54" spans="1:8">
      <c r="A54" s="5">
        <v>52</v>
      </c>
      <c r="B54" s="6" t="s">
        <v>334</v>
      </c>
      <c r="C54" s="5">
        <v>0.61</v>
      </c>
      <c r="D54" s="5">
        <v>35</v>
      </c>
      <c r="E54" s="5">
        <v>10</v>
      </c>
      <c r="F54" s="7">
        <v>2.7853000000000003</v>
      </c>
      <c r="G54" s="6">
        <v>0.02</v>
      </c>
      <c r="H54" s="9">
        <f t="shared" si="0"/>
        <v>2.7653000000000003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1"/>
  <sheetViews>
    <sheetView view="pageBreakPreview" topLeftCell="B1" zoomScale="130" zoomScaleNormal="100" zoomScaleSheetLayoutView="130" workbookViewId="0">
      <pane xSplit="1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G33" sqref="G33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335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336</v>
      </c>
      <c r="C3" s="5">
        <v>20.16</v>
      </c>
      <c r="D3" s="5">
        <v>35</v>
      </c>
      <c r="E3" s="5">
        <v>10</v>
      </c>
      <c r="F3" s="7">
        <v>0.28288445719638383</v>
      </c>
      <c r="G3" s="6">
        <v>1.7000000000000001E-2</v>
      </c>
      <c r="H3" s="9">
        <f>F3-G3</f>
        <v>0.26588445719638382</v>
      </c>
    </row>
    <row r="4" spans="1:9">
      <c r="A4" s="5">
        <v>2</v>
      </c>
      <c r="B4" s="6" t="s">
        <v>337</v>
      </c>
      <c r="C4" s="5">
        <v>4.05</v>
      </c>
      <c r="D4" s="5">
        <v>35</v>
      </c>
      <c r="E4" s="5">
        <v>10</v>
      </c>
      <c r="F4" s="7">
        <v>1.4081359647108884</v>
      </c>
      <c r="G4" s="6">
        <v>0.20100000000000001</v>
      </c>
      <c r="H4" s="9">
        <f t="shared" ref="H4:H61" si="0">F4-G4</f>
        <v>1.2071359647108884</v>
      </c>
    </row>
    <row r="5" spans="1:9">
      <c r="A5" s="5">
        <v>3</v>
      </c>
      <c r="B5" s="6" t="s">
        <v>338</v>
      </c>
      <c r="C5" s="5">
        <v>31.6</v>
      </c>
      <c r="D5" s="5">
        <v>35</v>
      </c>
      <c r="E5" s="5">
        <v>10</v>
      </c>
      <c r="F5" s="7">
        <v>0.18047312205946514</v>
      </c>
      <c r="G5" s="6">
        <v>0.05</v>
      </c>
      <c r="H5" s="9">
        <f t="shared" si="0"/>
        <v>0.13047312205946515</v>
      </c>
    </row>
    <row r="6" spans="1:9">
      <c r="A6" s="5">
        <v>4</v>
      </c>
      <c r="B6" s="6" t="s">
        <v>339</v>
      </c>
      <c r="C6" s="5">
        <v>3.5</v>
      </c>
      <c r="D6" s="5">
        <v>35</v>
      </c>
      <c r="E6" s="5">
        <v>10</v>
      </c>
      <c r="F6" s="7">
        <v>1.6294144734511709</v>
      </c>
      <c r="G6" s="6">
        <v>0.251</v>
      </c>
      <c r="H6" s="9">
        <f t="shared" si="0"/>
        <v>1.378414473451171</v>
      </c>
    </row>
    <row r="7" spans="1:9">
      <c r="A7" s="5">
        <v>5</v>
      </c>
      <c r="B7" s="6" t="s">
        <v>340</v>
      </c>
      <c r="C7" s="5">
        <v>3.11</v>
      </c>
      <c r="D7" s="5">
        <v>35</v>
      </c>
      <c r="E7" s="5">
        <v>10</v>
      </c>
      <c r="F7" s="7">
        <v>1.8337461919868483</v>
      </c>
      <c r="G7" s="6">
        <v>0.11700000000000001</v>
      </c>
      <c r="H7" s="9">
        <f t="shared" si="0"/>
        <v>1.7167461919868483</v>
      </c>
    </row>
    <row r="8" spans="1:9">
      <c r="A8" s="5">
        <v>6</v>
      </c>
      <c r="B8" s="6" t="s">
        <v>341</v>
      </c>
      <c r="C8" s="5">
        <v>13.2</v>
      </c>
      <c r="D8" s="5">
        <v>35</v>
      </c>
      <c r="E8" s="5">
        <v>10</v>
      </c>
      <c r="F8" s="7">
        <v>0.43204171644538625</v>
      </c>
      <c r="G8" s="6">
        <f>0.017+0.15438</f>
        <v>0.17137999999999998</v>
      </c>
      <c r="H8" s="9">
        <f t="shared" si="0"/>
        <v>0.26066171644538627</v>
      </c>
    </row>
    <row r="9" spans="1:9">
      <c r="A9" s="5">
        <v>7</v>
      </c>
      <c r="B9" s="6" t="s">
        <v>342</v>
      </c>
      <c r="C9" s="5">
        <v>10.66</v>
      </c>
      <c r="D9" s="5">
        <v>35</v>
      </c>
      <c r="E9" s="5">
        <v>10</v>
      </c>
      <c r="F9" s="7">
        <v>0.53498599034513106</v>
      </c>
      <c r="G9" s="6">
        <v>3.3000000000000002E-2</v>
      </c>
      <c r="H9" s="9">
        <f t="shared" si="0"/>
        <v>0.50198599034513103</v>
      </c>
    </row>
    <row r="10" spans="1:9">
      <c r="A10" s="5">
        <v>8</v>
      </c>
      <c r="B10" s="6" t="s">
        <v>343</v>
      </c>
      <c r="C10" s="5">
        <v>10.5</v>
      </c>
      <c r="D10" s="5">
        <v>35</v>
      </c>
      <c r="E10" s="5">
        <v>10</v>
      </c>
      <c r="F10" s="7">
        <v>0.54313815781705699</v>
      </c>
      <c r="G10" s="6">
        <v>1.7000000000000001E-2</v>
      </c>
      <c r="H10" s="9">
        <f t="shared" si="0"/>
        <v>0.52613815781705697</v>
      </c>
    </row>
    <row r="11" spans="1:9">
      <c r="A11" s="5">
        <v>9</v>
      </c>
      <c r="B11" s="6" t="s">
        <v>344</v>
      </c>
      <c r="C11" s="5">
        <v>8.61</v>
      </c>
      <c r="D11" s="5">
        <v>50</v>
      </c>
      <c r="E11" s="5">
        <v>10</v>
      </c>
      <c r="F11" s="7">
        <v>0.8541366674372467</v>
      </c>
      <c r="G11" s="6">
        <v>1.7000000000000001E-2</v>
      </c>
      <c r="H11" s="9">
        <f t="shared" si="0"/>
        <v>0.83713666743724668</v>
      </c>
    </row>
    <row r="12" spans="1:9">
      <c r="A12" s="5">
        <v>10</v>
      </c>
      <c r="B12" s="6" t="s">
        <v>345</v>
      </c>
      <c r="C12" s="5">
        <v>2.5499999999999998</v>
      </c>
      <c r="D12" s="5">
        <v>35</v>
      </c>
      <c r="E12" s="5">
        <v>10</v>
      </c>
      <c r="F12" s="7">
        <v>2.2364512380702344</v>
      </c>
      <c r="G12" s="6">
        <f>0.05+0.001+0.0014</f>
        <v>5.2400000000000002E-2</v>
      </c>
      <c r="H12" s="9">
        <f t="shared" si="0"/>
        <v>2.1840512380702344</v>
      </c>
    </row>
    <row r="13" spans="1:9">
      <c r="A13" s="5">
        <v>11</v>
      </c>
      <c r="B13" s="6" t="s">
        <v>346</v>
      </c>
      <c r="C13" s="5">
        <v>3.01</v>
      </c>
      <c r="D13" s="5">
        <v>35</v>
      </c>
      <c r="E13" s="5">
        <v>10</v>
      </c>
      <c r="F13" s="7">
        <v>1.8946679923850827</v>
      </c>
      <c r="G13" s="6">
        <v>1.7000000000000001E-2</v>
      </c>
      <c r="H13" s="9">
        <f t="shared" si="0"/>
        <v>1.8776679923850828</v>
      </c>
    </row>
    <row r="14" spans="1:9">
      <c r="A14" s="5">
        <v>12</v>
      </c>
      <c r="B14" s="6" t="s">
        <v>347</v>
      </c>
      <c r="C14" s="5">
        <v>2.1</v>
      </c>
      <c r="D14" s="5">
        <v>35</v>
      </c>
      <c r="E14" s="5">
        <v>10</v>
      </c>
      <c r="F14" s="7">
        <v>2.7156907890852851</v>
      </c>
      <c r="G14" s="6">
        <f>0.066+0.0105</f>
        <v>7.6499999999999999E-2</v>
      </c>
      <c r="H14" s="9">
        <f t="shared" si="0"/>
        <v>2.6391907890852853</v>
      </c>
    </row>
    <row r="15" spans="1:9">
      <c r="A15" s="5">
        <v>13</v>
      </c>
      <c r="B15" s="6" t="s">
        <v>348</v>
      </c>
      <c r="C15" s="5">
        <v>1.1000000000000001</v>
      </c>
      <c r="D15" s="5">
        <v>35</v>
      </c>
      <c r="E15" s="5">
        <v>10</v>
      </c>
      <c r="F15" s="7">
        <v>2.7853000000000003</v>
      </c>
      <c r="G15" s="6">
        <v>1.7000000000000001E-2</v>
      </c>
      <c r="H15" s="9">
        <f t="shared" si="0"/>
        <v>2.7683000000000004</v>
      </c>
    </row>
    <row r="16" spans="1:9">
      <c r="A16" s="5">
        <v>14</v>
      </c>
      <c r="B16" s="6" t="s">
        <v>349</v>
      </c>
      <c r="C16" s="5">
        <v>0.48</v>
      </c>
      <c r="D16" s="5">
        <v>35</v>
      </c>
      <c r="E16" s="5">
        <v>10</v>
      </c>
      <c r="F16" s="7">
        <v>2.7853000000000003</v>
      </c>
      <c r="G16" s="6">
        <v>0</v>
      </c>
      <c r="H16" s="9">
        <f t="shared" si="0"/>
        <v>2.7853000000000003</v>
      </c>
    </row>
    <row r="17" spans="1:8">
      <c r="A17" s="5">
        <v>15</v>
      </c>
      <c r="B17" s="6" t="s">
        <v>350</v>
      </c>
      <c r="C17" s="5">
        <v>1.02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9">
        <f t="shared" si="0"/>
        <v>2.7683000000000004</v>
      </c>
    </row>
    <row r="18" spans="1:8">
      <c r="A18" s="5">
        <v>16</v>
      </c>
      <c r="B18" s="6" t="s">
        <v>351</v>
      </c>
      <c r="C18" s="5">
        <v>2.2000000000000002</v>
      </c>
      <c r="D18" s="5">
        <v>35</v>
      </c>
      <c r="E18" s="5">
        <v>10</v>
      </c>
      <c r="F18" s="7">
        <v>2.592250298672317</v>
      </c>
      <c r="G18" s="6">
        <v>0.05</v>
      </c>
      <c r="H18" s="9">
        <f t="shared" si="0"/>
        <v>2.5422502986723172</v>
      </c>
    </row>
    <row r="19" spans="1:8">
      <c r="A19" s="5">
        <v>17</v>
      </c>
      <c r="B19" s="6" t="s">
        <v>352</v>
      </c>
      <c r="C19" s="5">
        <v>1.3</v>
      </c>
      <c r="D19" s="5">
        <v>35</v>
      </c>
      <c r="E19" s="5">
        <v>10</v>
      </c>
      <c r="F19" s="7">
        <v>2.7853000000000003</v>
      </c>
      <c r="G19" s="6">
        <v>1.7000000000000001E-2</v>
      </c>
      <c r="H19" s="9">
        <f t="shared" si="0"/>
        <v>2.7683000000000004</v>
      </c>
    </row>
    <row r="20" spans="1:8">
      <c r="A20" s="5">
        <v>18</v>
      </c>
      <c r="B20" s="6" t="s">
        <v>353</v>
      </c>
      <c r="C20" s="5">
        <v>2.21</v>
      </c>
      <c r="D20" s="5">
        <v>35</v>
      </c>
      <c r="E20" s="5">
        <v>10</v>
      </c>
      <c r="F20" s="7">
        <v>2.5805206593118086</v>
      </c>
      <c r="G20" s="6">
        <f>0.1+0.0051</f>
        <v>0.1051</v>
      </c>
      <c r="H20" s="9">
        <f t="shared" si="0"/>
        <v>2.4754206593118084</v>
      </c>
    </row>
    <row r="21" spans="1:8">
      <c r="A21" s="5">
        <v>19</v>
      </c>
      <c r="B21" s="6" t="s">
        <v>354</v>
      </c>
      <c r="C21" s="5">
        <v>1.03</v>
      </c>
      <c r="D21" s="5">
        <v>35</v>
      </c>
      <c r="E21" s="5">
        <v>10</v>
      </c>
      <c r="F21" s="7">
        <v>2.7853000000000003</v>
      </c>
      <c r="G21" s="6">
        <v>1.7000000000000001E-2</v>
      </c>
      <c r="H21" s="9">
        <f t="shared" si="0"/>
        <v>2.7683000000000004</v>
      </c>
    </row>
    <row r="22" spans="1:8">
      <c r="A22" s="5">
        <v>20</v>
      </c>
      <c r="B22" s="6" t="s">
        <v>355</v>
      </c>
      <c r="C22" s="5">
        <v>3.08</v>
      </c>
      <c r="D22" s="5">
        <v>35</v>
      </c>
      <c r="E22" s="5">
        <v>10</v>
      </c>
      <c r="F22" s="7">
        <v>1.8516073561945123</v>
      </c>
      <c r="G22" s="6">
        <v>8.2000000000000003E-2</v>
      </c>
      <c r="H22" s="9">
        <f t="shared" si="0"/>
        <v>1.7696073561945123</v>
      </c>
    </row>
    <row r="23" spans="1:8">
      <c r="A23" s="5">
        <v>21</v>
      </c>
      <c r="B23" s="6" t="s">
        <v>356</v>
      </c>
      <c r="C23" s="5">
        <v>15.2</v>
      </c>
      <c r="D23" s="5">
        <v>35</v>
      </c>
      <c r="E23" s="5">
        <v>10</v>
      </c>
      <c r="F23" s="7">
        <v>0.37519412217625642</v>
      </c>
      <c r="G23" s="6">
        <v>0.16400000000000001</v>
      </c>
      <c r="H23" s="9">
        <f t="shared" si="0"/>
        <v>0.21119412217625641</v>
      </c>
    </row>
    <row r="24" spans="1:8">
      <c r="A24" s="5">
        <v>22</v>
      </c>
      <c r="B24" s="6" t="s">
        <v>357</v>
      </c>
      <c r="C24" s="5">
        <v>3.8</v>
      </c>
      <c r="D24" s="5">
        <v>35</v>
      </c>
      <c r="E24" s="5">
        <v>10</v>
      </c>
      <c r="F24" s="7">
        <v>1.5007764887050257</v>
      </c>
      <c r="G24" s="6">
        <f>0.115+0.0044</f>
        <v>0.11940000000000001</v>
      </c>
      <c r="H24" s="9">
        <f t="shared" si="0"/>
        <v>1.3813764887050257</v>
      </c>
    </row>
    <row r="25" spans="1:8">
      <c r="A25" s="5">
        <v>23</v>
      </c>
      <c r="B25" s="6" t="s">
        <v>358</v>
      </c>
      <c r="C25" s="5">
        <v>10.199999999999999</v>
      </c>
      <c r="D25" s="5">
        <v>35</v>
      </c>
      <c r="E25" s="5">
        <v>10</v>
      </c>
      <c r="F25" s="7">
        <v>0.5591128095175586</v>
      </c>
      <c r="G25" s="6">
        <v>1.6E-2</v>
      </c>
      <c r="H25" s="9">
        <f t="shared" si="0"/>
        <v>0.54311280951755858</v>
      </c>
    </row>
    <row r="26" spans="1:8">
      <c r="A26" s="5">
        <v>24</v>
      </c>
      <c r="B26" s="6" t="s">
        <v>359</v>
      </c>
      <c r="C26" s="5">
        <v>1.7</v>
      </c>
      <c r="D26" s="5">
        <v>35</v>
      </c>
      <c r="E26" s="5">
        <v>10</v>
      </c>
      <c r="F26" s="7">
        <v>2.7853000000000003</v>
      </c>
      <c r="G26" s="6">
        <v>1.7000000000000001E-2</v>
      </c>
      <c r="H26" s="9">
        <f t="shared" si="0"/>
        <v>2.7683000000000004</v>
      </c>
    </row>
    <row r="27" spans="1:8">
      <c r="A27" s="5">
        <v>25</v>
      </c>
      <c r="B27" s="6" t="s">
        <v>360</v>
      </c>
      <c r="C27" s="5">
        <v>2.4</v>
      </c>
      <c r="D27" s="5">
        <v>35</v>
      </c>
      <c r="E27" s="5">
        <v>10</v>
      </c>
      <c r="F27" s="7">
        <v>2.3762294404496247</v>
      </c>
      <c r="G27" s="6">
        <v>0.17</v>
      </c>
      <c r="H27" s="9">
        <f t="shared" si="0"/>
        <v>2.2062294404496248</v>
      </c>
    </row>
    <row r="28" spans="1:8">
      <c r="A28" s="5">
        <v>26</v>
      </c>
      <c r="B28" s="6" t="s">
        <v>361</v>
      </c>
      <c r="C28" s="5">
        <v>5.63</v>
      </c>
      <c r="D28" s="5">
        <v>35</v>
      </c>
      <c r="E28" s="5">
        <v>10</v>
      </c>
      <c r="F28" s="7">
        <v>1.0129574879358965</v>
      </c>
      <c r="G28" s="6">
        <v>1.7000000000000001E-2</v>
      </c>
      <c r="H28" s="9">
        <f t="shared" si="0"/>
        <v>0.99595748793589645</v>
      </c>
    </row>
    <row r="29" spans="1:8">
      <c r="A29" s="5">
        <v>27</v>
      </c>
      <c r="B29" s="6" t="s">
        <v>362</v>
      </c>
      <c r="C29" s="5">
        <v>1.86</v>
      </c>
      <c r="D29" s="5">
        <v>35</v>
      </c>
      <c r="E29" s="5">
        <v>10</v>
      </c>
      <c r="F29" s="7">
        <v>2.7853000000000003</v>
      </c>
      <c r="G29" s="6">
        <v>0.05</v>
      </c>
      <c r="H29" s="9">
        <f t="shared" si="0"/>
        <v>2.7353000000000005</v>
      </c>
    </row>
    <row r="30" spans="1:8">
      <c r="A30" s="5">
        <v>28</v>
      </c>
      <c r="B30" s="6" t="s">
        <v>363</v>
      </c>
      <c r="C30" s="5">
        <v>13.68</v>
      </c>
      <c r="D30" s="5">
        <v>35</v>
      </c>
      <c r="E30" s="5">
        <v>10</v>
      </c>
      <c r="F30" s="7">
        <v>0.41688235797361828</v>
      </c>
      <c r="G30" s="6">
        <v>1.7000000000000001E-2</v>
      </c>
      <c r="H30" s="9">
        <f t="shared" si="0"/>
        <v>0.39988235797361826</v>
      </c>
    </row>
    <row r="31" spans="1:8">
      <c r="A31" s="5">
        <v>29</v>
      </c>
      <c r="B31" s="6" t="s">
        <v>364</v>
      </c>
      <c r="C31" s="5">
        <v>1.75</v>
      </c>
      <c r="D31" s="5">
        <v>35</v>
      </c>
      <c r="E31" s="5">
        <v>10</v>
      </c>
      <c r="F31" s="7">
        <v>2.7853000000000003</v>
      </c>
      <c r="G31" s="6">
        <v>1.0500000000000001E-2</v>
      </c>
      <c r="H31" s="9">
        <f t="shared" si="0"/>
        <v>2.7748000000000004</v>
      </c>
    </row>
    <row r="32" spans="1:8">
      <c r="A32" s="5">
        <v>30</v>
      </c>
      <c r="B32" s="6" t="s">
        <v>365</v>
      </c>
      <c r="C32" s="5">
        <v>3.3</v>
      </c>
      <c r="D32" s="5">
        <v>35</v>
      </c>
      <c r="E32" s="5">
        <v>10</v>
      </c>
      <c r="F32" s="7">
        <v>1.728166865781545</v>
      </c>
      <c r="G32" s="6">
        <f>0.05+0.00396</f>
        <v>5.3960000000000001E-2</v>
      </c>
      <c r="H32" s="9">
        <f t="shared" si="0"/>
        <v>1.674206865781545</v>
      </c>
    </row>
    <row r="33" spans="1:8">
      <c r="A33" s="5">
        <v>31</v>
      </c>
      <c r="B33" s="6" t="s">
        <v>366</v>
      </c>
      <c r="C33" s="5">
        <v>3.5</v>
      </c>
      <c r="D33" s="5">
        <v>35</v>
      </c>
      <c r="E33" s="5">
        <v>10</v>
      </c>
      <c r="F33" s="7">
        <v>1.6294144734511709</v>
      </c>
      <c r="G33" s="6">
        <v>3.3000000000000002E-2</v>
      </c>
      <c r="H33" s="9">
        <f t="shared" si="0"/>
        <v>1.5964144734511709</v>
      </c>
    </row>
    <row r="34" spans="1:8">
      <c r="A34" s="5">
        <v>32</v>
      </c>
      <c r="B34" s="6" t="s">
        <v>367</v>
      </c>
      <c r="C34" s="5">
        <v>2.7</v>
      </c>
      <c r="D34" s="5">
        <v>35</v>
      </c>
      <c r="E34" s="5">
        <v>10</v>
      </c>
      <c r="F34" s="7">
        <v>2.1122039470663321</v>
      </c>
      <c r="G34" s="6">
        <v>8.4000000000000005E-2</v>
      </c>
      <c r="H34" s="9">
        <f t="shared" si="0"/>
        <v>2.028203947066332</v>
      </c>
    </row>
    <row r="35" spans="1:8">
      <c r="A35" s="5">
        <v>33</v>
      </c>
      <c r="B35" s="6" t="s">
        <v>368</v>
      </c>
      <c r="C35" s="5">
        <v>1.1000000000000001</v>
      </c>
      <c r="D35" s="5">
        <v>35</v>
      </c>
      <c r="E35" s="5">
        <v>10</v>
      </c>
      <c r="F35" s="7">
        <v>2.7853000000000003</v>
      </c>
      <c r="G35" s="6">
        <v>6.7000000000000004E-2</v>
      </c>
      <c r="H35" s="9">
        <f t="shared" si="0"/>
        <v>2.7183000000000002</v>
      </c>
    </row>
    <row r="36" spans="1:8">
      <c r="A36" s="5">
        <v>34</v>
      </c>
      <c r="B36" s="6" t="s">
        <v>369</v>
      </c>
      <c r="C36" s="5">
        <v>9</v>
      </c>
      <c r="D36" s="5">
        <v>35</v>
      </c>
      <c r="E36" s="5">
        <v>10</v>
      </c>
      <c r="F36" s="7">
        <v>0.6336611841198998</v>
      </c>
      <c r="G36" s="6">
        <v>1.7000000000000001E-2</v>
      </c>
      <c r="H36" s="9">
        <f t="shared" si="0"/>
        <v>0.61666118411989979</v>
      </c>
    </row>
    <row r="37" spans="1:8">
      <c r="A37" s="5">
        <v>35</v>
      </c>
      <c r="B37" s="6" t="s">
        <v>370</v>
      </c>
      <c r="C37" s="5">
        <v>3.77</v>
      </c>
      <c r="D37" s="5">
        <v>35</v>
      </c>
      <c r="E37" s="5">
        <v>10</v>
      </c>
      <c r="F37" s="7">
        <v>1.5127190071827847</v>
      </c>
      <c r="G37" s="6">
        <v>0.13400000000000001</v>
      </c>
      <c r="H37" s="9">
        <f t="shared" si="0"/>
        <v>1.3787190071827848</v>
      </c>
    </row>
    <row r="38" spans="1:8">
      <c r="A38" s="5">
        <v>36</v>
      </c>
      <c r="B38" s="6" t="s">
        <v>371</v>
      </c>
      <c r="C38" s="5">
        <v>2.21</v>
      </c>
      <c r="D38" s="5">
        <v>35</v>
      </c>
      <c r="E38" s="5">
        <v>10</v>
      </c>
      <c r="F38" s="7">
        <v>2.5805206593118086</v>
      </c>
      <c r="G38" s="6">
        <v>8.4000000000000005E-2</v>
      </c>
      <c r="H38" s="9">
        <f t="shared" si="0"/>
        <v>2.4965206593118086</v>
      </c>
    </row>
    <row r="39" spans="1:8">
      <c r="A39" s="5">
        <v>37</v>
      </c>
      <c r="B39" s="6" t="s">
        <v>372</v>
      </c>
      <c r="C39" s="5">
        <v>1.95</v>
      </c>
      <c r="D39" s="5">
        <v>35</v>
      </c>
      <c r="E39" s="5">
        <v>10</v>
      </c>
      <c r="F39" s="7">
        <v>2.7853000000000003</v>
      </c>
      <c r="G39" s="6">
        <v>1.7000000000000001E-2</v>
      </c>
      <c r="H39" s="9">
        <f t="shared" si="0"/>
        <v>2.7683000000000004</v>
      </c>
    </row>
    <row r="40" spans="1:8">
      <c r="A40" s="5">
        <v>38</v>
      </c>
      <c r="B40" s="6" t="s">
        <v>373</v>
      </c>
      <c r="C40" s="5">
        <v>3.96</v>
      </c>
      <c r="D40" s="5">
        <v>35</v>
      </c>
      <c r="E40" s="5">
        <v>10</v>
      </c>
      <c r="F40" s="7">
        <v>1.440139054817954</v>
      </c>
      <c r="G40" s="6">
        <f>0.167+0.0054</f>
        <v>0.1724</v>
      </c>
      <c r="H40" s="9">
        <f t="shared" si="0"/>
        <v>1.2677390548179539</v>
      </c>
    </row>
    <row r="41" spans="1:8">
      <c r="A41" s="5">
        <v>39</v>
      </c>
      <c r="B41" s="6" t="s">
        <v>374</v>
      </c>
      <c r="C41" s="5">
        <v>4.2</v>
      </c>
      <c r="D41" s="5">
        <v>25</v>
      </c>
      <c r="E41" s="5">
        <v>10</v>
      </c>
      <c r="F41" s="7">
        <v>0.92215045486073544</v>
      </c>
      <c r="G41" s="6">
        <v>0.13400000000000001</v>
      </c>
      <c r="H41" s="9">
        <f t="shared" si="0"/>
        <v>0.78815045486073543</v>
      </c>
    </row>
    <row r="42" spans="1:8">
      <c r="A42" s="5">
        <v>40</v>
      </c>
      <c r="B42" s="6" t="s">
        <v>375</v>
      </c>
      <c r="C42" s="5">
        <v>2.6</v>
      </c>
      <c r="D42" s="5">
        <v>35</v>
      </c>
      <c r="E42" s="5">
        <v>10</v>
      </c>
      <c r="F42" s="7">
        <v>2.193442560415038</v>
      </c>
      <c r="G42" s="6">
        <v>1.7000000000000001E-2</v>
      </c>
      <c r="H42" s="9">
        <f t="shared" si="0"/>
        <v>2.1764425604150381</v>
      </c>
    </row>
    <row r="43" spans="1:8">
      <c r="A43" s="5">
        <v>41</v>
      </c>
      <c r="B43" s="6" t="s">
        <v>376</v>
      </c>
      <c r="C43" s="5">
        <v>2.4300000000000002</v>
      </c>
      <c r="D43" s="5">
        <v>50</v>
      </c>
      <c r="E43" s="5">
        <v>10</v>
      </c>
      <c r="F43" s="7">
        <v>3.0263854759813551</v>
      </c>
      <c r="G43" s="6">
        <v>1.7000000000000001E-2</v>
      </c>
      <c r="H43" s="9">
        <f t="shared" si="0"/>
        <v>3.0093854759813552</v>
      </c>
    </row>
    <row r="44" spans="1:8">
      <c r="A44" s="5">
        <v>42</v>
      </c>
      <c r="B44" s="6" t="s">
        <v>377</v>
      </c>
      <c r="C44" s="5">
        <v>1.5389999999999999</v>
      </c>
      <c r="D44" s="5">
        <v>35</v>
      </c>
      <c r="E44" s="5">
        <v>10</v>
      </c>
      <c r="F44" s="7">
        <v>2.7853000000000003</v>
      </c>
      <c r="G44" s="6">
        <v>1.7000000000000001E-2</v>
      </c>
      <c r="H44" s="9">
        <f t="shared" si="0"/>
        <v>2.7683000000000004</v>
      </c>
    </row>
    <row r="45" spans="1:8">
      <c r="A45" s="5">
        <v>43</v>
      </c>
      <c r="B45" s="6" t="s">
        <v>378</v>
      </c>
      <c r="C45" s="5">
        <v>23.75</v>
      </c>
      <c r="D45" s="5">
        <v>35</v>
      </c>
      <c r="E45" s="5">
        <v>10</v>
      </c>
      <c r="F45" s="7">
        <v>0.24012423819280415</v>
      </c>
      <c r="G45" s="6">
        <v>3.3000000000000002E-2</v>
      </c>
      <c r="H45" s="9">
        <f t="shared" si="0"/>
        <v>0.20712423819280415</v>
      </c>
    </row>
    <row r="46" spans="1:8">
      <c r="A46" s="5">
        <v>44</v>
      </c>
      <c r="B46" s="6" t="s">
        <v>379</v>
      </c>
      <c r="C46" s="5">
        <v>13.5</v>
      </c>
      <c r="D46" s="5">
        <v>35</v>
      </c>
      <c r="E46" s="5">
        <v>10</v>
      </c>
      <c r="F46" s="7">
        <v>0.42244078941326646</v>
      </c>
      <c r="G46" s="6">
        <v>3.3000000000000002E-2</v>
      </c>
      <c r="H46" s="9">
        <f t="shared" si="0"/>
        <v>0.38944078941326643</v>
      </c>
    </row>
    <row r="47" spans="1:8">
      <c r="A47" s="5">
        <v>45</v>
      </c>
      <c r="B47" s="6" t="s">
        <v>380</v>
      </c>
      <c r="C47" s="5">
        <v>2.6</v>
      </c>
      <c r="D47" s="5">
        <v>35</v>
      </c>
      <c r="E47" s="5">
        <v>10</v>
      </c>
      <c r="F47" s="7">
        <v>2.193442560415038</v>
      </c>
      <c r="G47" s="6">
        <v>1.7000000000000001E-2</v>
      </c>
      <c r="H47" s="9">
        <f t="shared" si="0"/>
        <v>2.1764425604150381</v>
      </c>
    </row>
    <row r="48" spans="1:8">
      <c r="A48" s="5">
        <v>46</v>
      </c>
      <c r="B48" s="6" t="s">
        <v>381</v>
      </c>
      <c r="C48" s="5">
        <v>1.8</v>
      </c>
      <c r="D48" s="5">
        <v>35</v>
      </c>
      <c r="E48" s="5">
        <v>10</v>
      </c>
      <c r="F48" s="7">
        <v>2.7853000000000003</v>
      </c>
      <c r="G48" s="6">
        <v>0.05</v>
      </c>
      <c r="H48" s="9">
        <f t="shared" si="0"/>
        <v>2.7353000000000005</v>
      </c>
    </row>
    <row r="49" spans="1:8">
      <c r="A49" s="5">
        <v>47</v>
      </c>
      <c r="B49" s="6" t="s">
        <v>382</v>
      </c>
      <c r="C49" s="5">
        <v>1.9</v>
      </c>
      <c r="D49" s="5">
        <v>50</v>
      </c>
      <c r="E49" s="5">
        <v>10</v>
      </c>
      <c r="F49" s="7">
        <v>3.3423600000000007</v>
      </c>
      <c r="G49" s="6">
        <v>0</v>
      </c>
      <c r="H49" s="9">
        <f t="shared" si="0"/>
        <v>3.3423600000000007</v>
      </c>
    </row>
    <row r="50" spans="1:8">
      <c r="A50" s="5">
        <v>48</v>
      </c>
      <c r="B50" s="6" t="s">
        <v>383</v>
      </c>
      <c r="C50" s="5">
        <v>12</v>
      </c>
      <c r="D50" s="5">
        <v>35</v>
      </c>
      <c r="E50" s="5">
        <v>10</v>
      </c>
      <c r="F50" s="7">
        <v>0.47524588808992485</v>
      </c>
      <c r="G50" s="6">
        <v>1.7000000000000001E-2</v>
      </c>
      <c r="H50" s="9">
        <f t="shared" si="0"/>
        <v>0.45824588808992484</v>
      </c>
    </row>
    <row r="51" spans="1:8">
      <c r="A51" s="5">
        <v>49</v>
      </c>
      <c r="B51" s="6" t="s">
        <v>384</v>
      </c>
      <c r="C51" s="5">
        <v>2.4</v>
      </c>
      <c r="D51" s="5">
        <v>50</v>
      </c>
      <c r="E51" s="5">
        <v>10</v>
      </c>
      <c r="F51" s="7">
        <v>3.0642152944311225</v>
      </c>
      <c r="G51" s="6">
        <v>0</v>
      </c>
      <c r="H51" s="9">
        <f t="shared" si="0"/>
        <v>3.0642152944311225</v>
      </c>
    </row>
    <row r="52" spans="1:8">
      <c r="A52" s="5">
        <v>50</v>
      </c>
      <c r="B52" s="6" t="s">
        <v>385</v>
      </c>
      <c r="C52" s="5">
        <v>10.4</v>
      </c>
      <c r="D52" s="5">
        <v>35</v>
      </c>
      <c r="E52" s="5">
        <v>10</v>
      </c>
      <c r="F52" s="7">
        <v>0.54836064010375951</v>
      </c>
      <c r="G52" s="6">
        <v>1.7000000000000001E-2</v>
      </c>
      <c r="H52" s="9">
        <f t="shared" si="0"/>
        <v>0.5313606401037595</v>
      </c>
    </row>
    <row r="53" spans="1:8">
      <c r="A53" s="5">
        <v>51</v>
      </c>
      <c r="B53" s="6" t="s">
        <v>386</v>
      </c>
      <c r="C53" s="5">
        <v>11.06</v>
      </c>
      <c r="D53" s="5">
        <v>35</v>
      </c>
      <c r="E53" s="5">
        <v>10</v>
      </c>
      <c r="F53" s="7">
        <v>0.51563749159847183</v>
      </c>
      <c r="G53" s="6">
        <v>0.15</v>
      </c>
      <c r="H53" s="9">
        <f t="shared" si="0"/>
        <v>0.36563749159847181</v>
      </c>
    </row>
    <row r="54" spans="1:8">
      <c r="A54" s="5">
        <v>52</v>
      </c>
      <c r="B54" s="6" t="s">
        <v>387</v>
      </c>
      <c r="C54" s="5">
        <v>32.630000000000003</v>
      </c>
      <c r="D54" s="5">
        <v>50</v>
      </c>
      <c r="E54" s="5">
        <v>10</v>
      </c>
      <c r="F54" s="7">
        <v>0.22537899805806597</v>
      </c>
      <c r="G54" s="6">
        <v>1.7000000000000001E-2</v>
      </c>
      <c r="H54" s="9">
        <f t="shared" si="0"/>
        <v>0.20837899805806598</v>
      </c>
    </row>
    <row r="55" spans="1:8">
      <c r="A55" s="5">
        <v>53</v>
      </c>
      <c r="B55" s="6" t="s">
        <v>388</v>
      </c>
      <c r="C55" s="5">
        <v>7.2</v>
      </c>
      <c r="D55" s="5">
        <v>50</v>
      </c>
      <c r="E55" s="5">
        <v>10</v>
      </c>
      <c r="F55" s="7">
        <v>1.0214050981437075</v>
      </c>
      <c r="G55" s="6">
        <v>0.70199999999999996</v>
      </c>
      <c r="H55" s="9">
        <f t="shared" si="0"/>
        <v>0.31940509814370754</v>
      </c>
    </row>
    <row r="56" spans="1:8">
      <c r="A56" s="5">
        <v>54</v>
      </c>
      <c r="B56" s="6" t="s">
        <v>389</v>
      </c>
      <c r="C56" s="5">
        <v>3.9</v>
      </c>
      <c r="D56" s="5">
        <v>35</v>
      </c>
      <c r="E56" s="5">
        <v>10</v>
      </c>
      <c r="F56" s="7">
        <v>1.4622950402766917</v>
      </c>
      <c r="G56" s="6">
        <f>0.134+0.0038</f>
        <v>0.13780000000000001</v>
      </c>
      <c r="H56" s="9">
        <f t="shared" si="0"/>
        <v>1.3244950402766917</v>
      </c>
    </row>
    <row r="57" spans="1:8">
      <c r="A57" s="5">
        <v>55</v>
      </c>
      <c r="B57" s="6" t="s">
        <v>390</v>
      </c>
      <c r="C57" s="5">
        <v>4.95</v>
      </c>
      <c r="D57" s="5">
        <v>70</v>
      </c>
      <c r="E57" s="5">
        <v>10</v>
      </c>
      <c r="F57" s="7">
        <v>2.0464499654105466</v>
      </c>
      <c r="G57" s="6">
        <f>0.184+0.00024</f>
        <v>0.18423999999999999</v>
      </c>
      <c r="H57" s="9">
        <f t="shared" si="0"/>
        <v>1.8622099654105466</v>
      </c>
    </row>
    <row r="58" spans="1:8">
      <c r="A58" s="5">
        <v>56</v>
      </c>
      <c r="B58" s="6" t="s">
        <v>391</v>
      </c>
      <c r="C58" s="5">
        <v>6.97</v>
      </c>
      <c r="D58" s="5">
        <v>70</v>
      </c>
      <c r="E58" s="5">
        <v>10</v>
      </c>
      <c r="F58" s="7">
        <v>1.4533611662528276</v>
      </c>
      <c r="G58" s="6">
        <v>0.16700000000000001</v>
      </c>
      <c r="H58" s="9">
        <f t="shared" si="0"/>
        <v>1.2863611662528276</v>
      </c>
    </row>
    <row r="59" spans="1:8">
      <c r="A59" s="5">
        <v>57</v>
      </c>
      <c r="B59" s="6" t="s">
        <v>392</v>
      </c>
      <c r="C59" s="5">
        <v>5.95</v>
      </c>
      <c r="D59" s="5">
        <v>70</v>
      </c>
      <c r="E59" s="5">
        <v>10</v>
      </c>
      <c r="F59" s="7">
        <v>1.7025087947533124</v>
      </c>
      <c r="G59" s="6">
        <f>0.117+0.00916</f>
        <v>0.12615999999999999</v>
      </c>
      <c r="H59" s="9">
        <f t="shared" si="0"/>
        <v>1.5763487947533124</v>
      </c>
    </row>
    <row r="60" spans="1:8">
      <c r="A60" s="5">
        <v>58</v>
      </c>
      <c r="B60" s="6" t="s">
        <v>393</v>
      </c>
      <c r="C60" s="5">
        <v>0.12</v>
      </c>
      <c r="D60" s="5">
        <v>35</v>
      </c>
      <c r="E60" s="5">
        <v>10</v>
      </c>
      <c r="F60" s="7">
        <v>2.7853000000000003</v>
      </c>
      <c r="G60" s="6">
        <v>3.3000000000000002E-2</v>
      </c>
      <c r="H60" s="9">
        <f t="shared" si="0"/>
        <v>2.7523000000000004</v>
      </c>
    </row>
    <row r="61" spans="1:8">
      <c r="A61" s="5">
        <v>59</v>
      </c>
      <c r="B61" s="6" t="s">
        <v>394</v>
      </c>
      <c r="C61" s="5">
        <v>1.2</v>
      </c>
      <c r="D61" s="5">
        <v>35</v>
      </c>
      <c r="E61" s="5">
        <v>10</v>
      </c>
      <c r="F61" s="7">
        <v>2.7853000000000003</v>
      </c>
      <c r="G61" s="6">
        <v>1.7000000000000001E-2</v>
      </c>
      <c r="H61" s="9">
        <f t="shared" si="0"/>
        <v>2.7683000000000004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7"/>
  <sheetViews>
    <sheetView tabSelected="1" view="pageBreakPreview" topLeftCell="B1" zoomScale="90" zoomScaleNormal="100" zoomScaleSheetLayoutView="90" workbookViewId="0">
      <pane xSplit="1" ySplit="2" topLeftCell="C36" activePane="bottomRight" state="frozen"/>
      <selection activeCell="B1" sqref="B1"/>
      <selection pane="topRight" activeCell="C1" sqref="C1"/>
      <selection pane="bottomLeft" activeCell="B3" sqref="B3"/>
      <selection pane="bottomRight" activeCell="E46" sqref="E46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395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396</v>
      </c>
      <c r="C3" s="5">
        <v>3.5</v>
      </c>
      <c r="D3" s="5">
        <v>50</v>
      </c>
      <c r="E3" s="5">
        <v>10</v>
      </c>
      <c r="F3" s="7">
        <v>2.101176201895627</v>
      </c>
      <c r="G3" s="6">
        <v>8.5000000000000006E-2</v>
      </c>
      <c r="H3" s="9">
        <f>F3-G3</f>
        <v>2.0161762018956271</v>
      </c>
    </row>
    <row r="4" spans="1:9">
      <c r="A4" s="5">
        <v>2</v>
      </c>
      <c r="B4" s="6" t="s">
        <v>397</v>
      </c>
      <c r="C4" s="5">
        <v>6.3</v>
      </c>
      <c r="D4" s="5">
        <v>50</v>
      </c>
      <c r="E4" s="5">
        <v>10</v>
      </c>
      <c r="F4" s="7">
        <v>1.1673201121642371</v>
      </c>
      <c r="G4" s="10">
        <f>0.869+0.0092</f>
        <v>0.87819999999999998</v>
      </c>
      <c r="H4" s="9">
        <f t="shared" ref="H4:H67" si="0">F4-G4</f>
        <v>0.28912011216423716</v>
      </c>
    </row>
    <row r="5" spans="1:9">
      <c r="A5" s="5">
        <v>3</v>
      </c>
      <c r="B5" s="6" t="s">
        <v>398</v>
      </c>
      <c r="C5" s="5">
        <v>7.6</v>
      </c>
      <c r="D5" s="5">
        <v>50</v>
      </c>
      <c r="E5" s="5">
        <v>10</v>
      </c>
      <c r="F5" s="7">
        <v>0.96764693508351229</v>
      </c>
      <c r="G5" s="6">
        <v>5.0999999999999997E-2</v>
      </c>
      <c r="H5" s="9">
        <f t="shared" si="0"/>
        <v>0.91664693508351225</v>
      </c>
    </row>
    <row r="6" spans="1:9">
      <c r="A6" s="5">
        <v>4</v>
      </c>
      <c r="B6" s="6" t="s">
        <v>399</v>
      </c>
      <c r="C6" s="5">
        <v>9.75</v>
      </c>
      <c r="D6" s="5">
        <v>35</v>
      </c>
      <c r="E6" s="5">
        <v>10</v>
      </c>
      <c r="F6" s="7">
        <v>0.58491801611067673</v>
      </c>
      <c r="G6" s="6">
        <f>0.46+0.1341+0.005057+0.0071</f>
        <v>0.60625700000000005</v>
      </c>
      <c r="H6" s="9">
        <f t="shared" si="0"/>
        <v>-2.1338983889323315E-2</v>
      </c>
    </row>
    <row r="7" spans="1:9">
      <c r="A7" s="5">
        <v>5</v>
      </c>
      <c r="B7" s="6" t="s">
        <v>400</v>
      </c>
      <c r="C7" s="5">
        <v>6.5</v>
      </c>
      <c r="D7" s="5">
        <v>35</v>
      </c>
      <c r="E7" s="5">
        <v>10</v>
      </c>
      <c r="F7" s="7">
        <v>0.87737702416601504</v>
      </c>
      <c r="G7" s="6">
        <f>0.698+0.021448</f>
        <v>0.71944799999999998</v>
      </c>
      <c r="H7" s="9">
        <f t="shared" si="0"/>
        <v>0.15792902416601506</v>
      </c>
    </row>
    <row r="8" spans="1:9">
      <c r="A8" s="5">
        <v>6</v>
      </c>
      <c r="B8" s="6" t="s">
        <v>401</v>
      </c>
      <c r="C8" s="5">
        <v>5.0999999999999996</v>
      </c>
      <c r="D8" s="5">
        <v>70</v>
      </c>
      <c r="E8" s="5">
        <v>10</v>
      </c>
      <c r="F8" s="7">
        <v>1.9862602605455311</v>
      </c>
      <c r="G8" s="9">
        <f>0.102+2.1165</f>
        <v>2.2184999999999997</v>
      </c>
      <c r="H8" s="9">
        <f t="shared" si="0"/>
        <v>-0.23223973945446863</v>
      </c>
    </row>
    <row r="9" spans="1:9">
      <c r="A9" s="5">
        <v>7</v>
      </c>
      <c r="B9" s="6" t="s">
        <v>402</v>
      </c>
      <c r="C9" s="5">
        <v>2</v>
      </c>
      <c r="D9" s="5">
        <v>35</v>
      </c>
      <c r="E9" s="5">
        <v>10</v>
      </c>
      <c r="F9" s="7">
        <v>2.7853000000000003</v>
      </c>
      <c r="G9" s="6">
        <v>0.10199999999999999</v>
      </c>
      <c r="H9" s="9">
        <f t="shared" si="0"/>
        <v>2.6833000000000005</v>
      </c>
    </row>
    <row r="10" spans="1:9">
      <c r="A10" s="5">
        <v>8</v>
      </c>
      <c r="B10" s="6" t="s">
        <v>403</v>
      </c>
      <c r="C10" s="5">
        <v>5.4</v>
      </c>
      <c r="D10" s="5">
        <v>50</v>
      </c>
      <c r="E10" s="5">
        <v>10</v>
      </c>
      <c r="F10" s="7">
        <v>1.3618734641916097</v>
      </c>
      <c r="G10" s="10">
        <f>0.481+0.006022+0.0105</f>
        <v>0.49752199999999996</v>
      </c>
      <c r="H10" s="9">
        <f t="shared" si="0"/>
        <v>0.86435146419160969</v>
      </c>
    </row>
    <row r="11" spans="1:9">
      <c r="A11" s="5">
        <v>9</v>
      </c>
      <c r="B11" s="6" t="s">
        <v>404</v>
      </c>
      <c r="C11" s="5">
        <v>5</v>
      </c>
      <c r="D11" s="5">
        <v>95</v>
      </c>
      <c r="E11" s="5">
        <v>10</v>
      </c>
      <c r="F11" s="7">
        <v>2.7611044417767108</v>
      </c>
      <c r="G11" s="6">
        <f>0.619+0.00522</f>
        <v>0.62422</v>
      </c>
      <c r="H11" s="9">
        <f t="shared" si="0"/>
        <v>2.1368844417767106</v>
      </c>
    </row>
    <row r="12" spans="1:9">
      <c r="A12" s="5">
        <v>10</v>
      </c>
      <c r="B12" s="6" t="s">
        <v>405</v>
      </c>
      <c r="C12" s="5">
        <v>7.6</v>
      </c>
      <c r="D12" s="5">
        <v>35</v>
      </c>
      <c r="E12" s="5">
        <v>10</v>
      </c>
      <c r="F12" s="7">
        <v>0.75038824435251283</v>
      </c>
      <c r="G12" s="6">
        <v>8.9999999999999993E-3</v>
      </c>
      <c r="H12" s="9">
        <f t="shared" si="0"/>
        <v>0.74138824435251283</v>
      </c>
    </row>
    <row r="13" spans="1:9">
      <c r="A13" s="5">
        <v>11</v>
      </c>
      <c r="B13" s="6" t="s">
        <v>406</v>
      </c>
      <c r="C13" s="5">
        <v>13.39</v>
      </c>
      <c r="D13" s="5">
        <v>70</v>
      </c>
      <c r="E13" s="5">
        <v>10</v>
      </c>
      <c r="F13" s="7">
        <v>0.75652930013310005</v>
      </c>
      <c r="G13" s="6">
        <f>0.068+0.16+0.0021</f>
        <v>0.2301</v>
      </c>
      <c r="H13" s="9">
        <f t="shared" si="0"/>
        <v>0.52642930013310008</v>
      </c>
    </row>
    <row r="14" spans="1:9">
      <c r="A14" s="5">
        <v>12</v>
      </c>
      <c r="B14" s="6" t="s">
        <v>407</v>
      </c>
      <c r="C14" s="5">
        <v>2.34</v>
      </c>
      <c r="D14" s="5">
        <v>35</v>
      </c>
      <c r="E14" s="5">
        <v>10</v>
      </c>
      <c r="F14" s="7">
        <v>2.4371584004611533</v>
      </c>
      <c r="G14" s="6">
        <f>0.067+0.0021+0.0071</f>
        <v>7.6200000000000004E-2</v>
      </c>
      <c r="H14" s="9">
        <f t="shared" si="0"/>
        <v>2.3609584004611532</v>
      </c>
    </row>
    <row r="15" spans="1:9">
      <c r="A15" s="5">
        <v>13</v>
      </c>
      <c r="B15" s="6" t="s">
        <v>408</v>
      </c>
      <c r="C15" s="5">
        <v>12.55</v>
      </c>
      <c r="D15" s="5">
        <v>70</v>
      </c>
      <c r="E15" s="5">
        <v>10</v>
      </c>
      <c r="F15" s="7">
        <v>0.80716552420575349</v>
      </c>
      <c r="G15" s="6">
        <v>3.4000000000000002E-2</v>
      </c>
      <c r="H15" s="9">
        <f t="shared" si="0"/>
        <v>0.77316552420575346</v>
      </c>
    </row>
    <row r="16" spans="1:9">
      <c r="A16" s="5">
        <v>14</v>
      </c>
      <c r="B16" s="6" t="s">
        <v>409</v>
      </c>
      <c r="C16" s="5">
        <v>6.6</v>
      </c>
      <c r="D16" s="5">
        <v>50</v>
      </c>
      <c r="E16" s="5">
        <v>10</v>
      </c>
      <c r="F16" s="7">
        <v>1.1142601070658626</v>
      </c>
      <c r="G16" s="6">
        <v>1.7000000000000001E-2</v>
      </c>
      <c r="H16" s="9">
        <f t="shared" si="0"/>
        <v>1.0972601070658627</v>
      </c>
    </row>
    <row r="17" spans="1:8">
      <c r="A17" s="5">
        <v>15</v>
      </c>
      <c r="B17" s="6" t="s">
        <v>410</v>
      </c>
      <c r="C17" s="5">
        <v>3.6</v>
      </c>
      <c r="D17" s="5">
        <v>35</v>
      </c>
      <c r="E17" s="5">
        <v>10</v>
      </c>
      <c r="F17" s="7">
        <v>1.5841529602997493</v>
      </c>
      <c r="G17" s="6">
        <f>0.084+0.00145</f>
        <v>8.5449999999999998E-2</v>
      </c>
      <c r="H17" s="9">
        <f t="shared" si="0"/>
        <v>1.4987029602997493</v>
      </c>
    </row>
    <row r="18" spans="1:8">
      <c r="A18" s="5">
        <v>16</v>
      </c>
      <c r="B18" s="6" t="s">
        <v>411</v>
      </c>
      <c r="C18" s="5">
        <v>10.27</v>
      </c>
      <c r="D18" s="5">
        <v>50</v>
      </c>
      <c r="E18" s="5">
        <v>10</v>
      </c>
      <c r="F18" s="7">
        <v>0.71607757610853873</v>
      </c>
      <c r="G18" s="6">
        <v>1.7000000000000001E-2</v>
      </c>
      <c r="H18" s="9">
        <f t="shared" si="0"/>
        <v>0.69907757610853871</v>
      </c>
    </row>
    <row r="19" spans="1:8">
      <c r="A19" s="5">
        <v>17</v>
      </c>
      <c r="B19" s="6" t="s">
        <v>412</v>
      </c>
      <c r="C19" s="5">
        <v>5.13</v>
      </c>
      <c r="D19" s="5">
        <v>50</v>
      </c>
      <c r="E19" s="5">
        <v>10</v>
      </c>
      <c r="F19" s="7">
        <v>1.4335510149385369</v>
      </c>
      <c r="G19" s="6">
        <v>0.1</v>
      </c>
      <c r="H19" s="9">
        <f t="shared" si="0"/>
        <v>1.3335510149385368</v>
      </c>
    </row>
    <row r="20" spans="1:8">
      <c r="A20" s="5">
        <v>18</v>
      </c>
      <c r="B20" s="6" t="s">
        <v>413</v>
      </c>
      <c r="C20" s="5">
        <v>17.940000000000001</v>
      </c>
      <c r="D20" s="5">
        <v>70</v>
      </c>
      <c r="E20" s="5">
        <v>10</v>
      </c>
      <c r="F20" s="7">
        <v>0.5646559269109368</v>
      </c>
      <c r="G20" s="10">
        <f>0.034+0.00561+0.031+0.00003</f>
        <v>7.0640000000000008E-2</v>
      </c>
      <c r="H20" s="9">
        <f t="shared" si="0"/>
        <v>0.49401592691093676</v>
      </c>
    </row>
    <row r="21" spans="1:8">
      <c r="A21" s="5">
        <v>19</v>
      </c>
      <c r="B21" s="6" t="s">
        <v>414</v>
      </c>
      <c r="C21" s="5">
        <v>9.6</v>
      </c>
      <c r="D21" s="5">
        <v>50</v>
      </c>
      <c r="E21" s="5">
        <v>10</v>
      </c>
      <c r="F21" s="7">
        <v>0.76605382360778063</v>
      </c>
      <c r="G21" s="6">
        <v>0.20599999999999999</v>
      </c>
      <c r="H21" s="9">
        <f t="shared" si="0"/>
        <v>0.56005382360778067</v>
      </c>
    </row>
    <row r="22" spans="1:8">
      <c r="A22" s="5">
        <v>20</v>
      </c>
      <c r="B22" s="6" t="s">
        <v>415</v>
      </c>
      <c r="C22" s="5">
        <v>2.2000000000000002</v>
      </c>
      <c r="D22" s="5">
        <v>50</v>
      </c>
      <c r="E22" s="5">
        <v>10</v>
      </c>
      <c r="F22" s="7">
        <v>3.3423600000000007</v>
      </c>
      <c r="G22" s="6">
        <v>0.12</v>
      </c>
      <c r="H22" s="9">
        <f t="shared" si="0"/>
        <v>3.2223600000000006</v>
      </c>
    </row>
    <row r="23" spans="1:8">
      <c r="A23" s="5">
        <v>21</v>
      </c>
      <c r="B23" s="6" t="s">
        <v>416</v>
      </c>
      <c r="C23" s="5">
        <v>20.9</v>
      </c>
      <c r="D23" s="5">
        <v>50</v>
      </c>
      <c r="E23" s="5">
        <v>10</v>
      </c>
      <c r="F23" s="7">
        <v>0.35187161275764084</v>
      </c>
      <c r="G23" s="6">
        <v>6.9000000000000006E-2</v>
      </c>
      <c r="H23" s="9">
        <f t="shared" si="0"/>
        <v>0.28287161275764083</v>
      </c>
    </row>
    <row r="24" spans="1:8">
      <c r="A24" s="5">
        <v>22</v>
      </c>
      <c r="B24" s="6" t="s">
        <v>417</v>
      </c>
      <c r="C24" s="5">
        <v>9.9499999999999993</v>
      </c>
      <c r="D24" s="5">
        <v>50</v>
      </c>
      <c r="E24" s="5">
        <v>10</v>
      </c>
      <c r="F24" s="7">
        <v>0.73910720669695429</v>
      </c>
      <c r="G24" s="6">
        <f>0.172+0.16372</f>
        <v>0.33572000000000002</v>
      </c>
      <c r="H24" s="9">
        <f t="shared" si="0"/>
        <v>0.40338720669695427</v>
      </c>
    </row>
    <row r="25" spans="1:8">
      <c r="A25" s="5">
        <v>23</v>
      </c>
      <c r="B25" s="6" t="s">
        <v>418</v>
      </c>
      <c r="C25" s="5">
        <v>2.2000000000000002</v>
      </c>
      <c r="D25" s="5">
        <v>50</v>
      </c>
      <c r="E25" s="5">
        <v>10</v>
      </c>
      <c r="F25" s="7">
        <v>3.3423600000000007</v>
      </c>
      <c r="G25" s="6">
        <v>0.105</v>
      </c>
      <c r="H25" s="9">
        <f t="shared" si="0"/>
        <v>3.2373600000000007</v>
      </c>
    </row>
    <row r="26" spans="1:8">
      <c r="A26" s="5">
        <v>24</v>
      </c>
      <c r="B26" s="6" t="s">
        <v>419</v>
      </c>
      <c r="C26" s="5">
        <v>1.4</v>
      </c>
      <c r="D26" s="5">
        <v>50</v>
      </c>
      <c r="E26" s="5">
        <v>10</v>
      </c>
      <c r="F26" s="7">
        <v>3.3423600000000007</v>
      </c>
      <c r="G26" s="6">
        <v>0.20599999999999999</v>
      </c>
      <c r="H26" s="9">
        <f t="shared" si="0"/>
        <v>3.1363600000000007</v>
      </c>
    </row>
    <row r="27" spans="1:8">
      <c r="A27" s="5">
        <v>25</v>
      </c>
      <c r="B27" s="6" t="s">
        <v>420</v>
      </c>
      <c r="C27" s="5">
        <v>10</v>
      </c>
      <c r="D27" s="5">
        <v>35</v>
      </c>
      <c r="E27" s="5">
        <v>10</v>
      </c>
      <c r="F27" s="7">
        <v>0.57029506570790978</v>
      </c>
      <c r="G27" s="6">
        <v>5.1999999999999998E-2</v>
      </c>
      <c r="H27" s="9">
        <f t="shared" si="0"/>
        <v>0.51829506570790973</v>
      </c>
    </row>
    <row r="28" spans="1:8">
      <c r="A28" s="5">
        <v>26</v>
      </c>
      <c r="B28" s="6" t="s">
        <v>421</v>
      </c>
      <c r="C28" s="5">
        <v>10.8</v>
      </c>
      <c r="D28" s="5">
        <v>50</v>
      </c>
      <c r="E28" s="5">
        <v>10</v>
      </c>
      <c r="F28" s="7">
        <v>0.68093673209580485</v>
      </c>
      <c r="G28" s="6">
        <f>0.206+0.00345</f>
        <v>0.20945</v>
      </c>
      <c r="H28" s="9">
        <f t="shared" si="0"/>
        <v>0.47148673209580483</v>
      </c>
    </row>
    <row r="29" spans="1:8">
      <c r="A29" s="5">
        <v>27</v>
      </c>
      <c r="B29" s="6" t="s">
        <v>422</v>
      </c>
      <c r="C29" s="5">
        <v>5</v>
      </c>
      <c r="D29" s="5">
        <v>50</v>
      </c>
      <c r="E29" s="5">
        <v>10</v>
      </c>
      <c r="F29" s="7">
        <v>1.4708233413269389</v>
      </c>
      <c r="G29" s="6">
        <v>5.2999999999999999E-2</v>
      </c>
      <c r="H29" s="9">
        <f t="shared" si="0"/>
        <v>1.417823341326939</v>
      </c>
    </row>
    <row r="30" spans="1:8">
      <c r="A30" s="5">
        <v>28</v>
      </c>
      <c r="B30" s="6" t="s">
        <v>423</v>
      </c>
      <c r="C30" s="5">
        <v>5.8</v>
      </c>
      <c r="D30" s="5">
        <v>50</v>
      </c>
      <c r="E30" s="5">
        <v>10</v>
      </c>
      <c r="F30" s="7">
        <v>1.2679511563163264</v>
      </c>
      <c r="G30" s="6">
        <v>8.7999999999999995E-2</v>
      </c>
      <c r="H30" s="9">
        <f t="shared" si="0"/>
        <v>1.1799511563163263</v>
      </c>
    </row>
    <row r="31" spans="1:8">
      <c r="A31" s="5">
        <v>29</v>
      </c>
      <c r="B31" s="6" t="s">
        <v>424</v>
      </c>
      <c r="C31" s="5">
        <v>28.5</v>
      </c>
      <c r="D31" s="5">
        <v>50</v>
      </c>
      <c r="E31" s="5">
        <v>10</v>
      </c>
      <c r="F31" s="7">
        <v>0.25803918268893661</v>
      </c>
      <c r="G31" s="6">
        <v>1.7999999999999999E-2</v>
      </c>
      <c r="H31" s="9">
        <f t="shared" si="0"/>
        <v>0.24003918268893662</v>
      </c>
    </row>
    <row r="32" spans="1:8">
      <c r="A32" s="5">
        <v>30</v>
      </c>
      <c r="B32" s="6" t="s">
        <v>425</v>
      </c>
      <c r="C32" s="5">
        <v>7.15</v>
      </c>
      <c r="D32" s="5">
        <v>50</v>
      </c>
      <c r="E32" s="5">
        <v>10</v>
      </c>
      <c r="F32" s="7">
        <v>1.0285477911377192</v>
      </c>
      <c r="G32" s="6">
        <v>4.0000000000000001E-3</v>
      </c>
      <c r="H32" s="9">
        <f t="shared" si="0"/>
        <v>1.0245477911377192</v>
      </c>
    </row>
    <row r="33" spans="1:8">
      <c r="A33" s="5">
        <v>31</v>
      </c>
      <c r="B33" s="6" t="s">
        <v>426</v>
      </c>
      <c r="C33" s="5">
        <v>11</v>
      </c>
      <c r="D33" s="5">
        <v>50</v>
      </c>
      <c r="E33" s="5">
        <v>10</v>
      </c>
      <c r="F33" s="7">
        <v>0.66855606423951763</v>
      </c>
      <c r="G33" s="6">
        <v>0.26300000000000001</v>
      </c>
      <c r="H33" s="9">
        <f t="shared" si="0"/>
        <v>0.40555606423951762</v>
      </c>
    </row>
    <row r="34" spans="1:8">
      <c r="A34" s="5">
        <v>32</v>
      </c>
      <c r="B34" s="6" t="s">
        <v>427</v>
      </c>
      <c r="C34" s="5">
        <v>40.200000000000003</v>
      </c>
      <c r="D34" s="5">
        <v>50</v>
      </c>
      <c r="E34" s="5">
        <v>10</v>
      </c>
      <c r="F34" s="7">
        <v>0.18293822653320133</v>
      </c>
      <c r="G34" s="6">
        <v>1.7000000000000001E-2</v>
      </c>
      <c r="H34" s="9">
        <f t="shared" si="0"/>
        <v>0.16593822653320134</v>
      </c>
    </row>
    <row r="35" spans="1:8">
      <c r="A35" s="5">
        <v>33</v>
      </c>
      <c r="B35" s="6" t="s">
        <v>428</v>
      </c>
      <c r="C35" s="5">
        <v>5.5</v>
      </c>
      <c r="D35" s="5">
        <v>50</v>
      </c>
      <c r="E35" s="5">
        <v>10</v>
      </c>
      <c r="F35" s="7">
        <v>1.3371121284790353</v>
      </c>
      <c r="G35" s="6">
        <v>5.1999999999999998E-2</v>
      </c>
      <c r="H35" s="9">
        <f t="shared" si="0"/>
        <v>1.2851121284790352</v>
      </c>
    </row>
    <row r="36" spans="1:8">
      <c r="A36" s="5">
        <v>34</v>
      </c>
      <c r="B36" s="6" t="s">
        <v>429</v>
      </c>
      <c r="C36" s="5">
        <v>3.5</v>
      </c>
      <c r="D36" s="5">
        <v>50</v>
      </c>
      <c r="E36" s="5">
        <v>10</v>
      </c>
      <c r="F36" s="7">
        <v>2.101176201895627</v>
      </c>
      <c r="G36" s="6">
        <v>2.5999999999999999E-2</v>
      </c>
      <c r="H36" s="9">
        <f t="shared" si="0"/>
        <v>2.0751762018956272</v>
      </c>
    </row>
    <row r="37" spans="1:8">
      <c r="A37" s="5">
        <v>35</v>
      </c>
      <c r="B37" s="6" t="s">
        <v>430</v>
      </c>
      <c r="C37" s="5">
        <v>11</v>
      </c>
      <c r="D37" s="5">
        <v>50</v>
      </c>
      <c r="E37" s="5">
        <v>10</v>
      </c>
      <c r="F37" s="7">
        <v>0.66855606423951763</v>
      </c>
      <c r="G37" s="6">
        <v>1.7000000000000001E-2</v>
      </c>
      <c r="H37" s="9">
        <f t="shared" si="0"/>
        <v>0.65155606423951762</v>
      </c>
    </row>
    <row r="38" spans="1:8">
      <c r="A38" s="5">
        <v>36</v>
      </c>
      <c r="B38" s="6" t="s">
        <v>431</v>
      </c>
      <c r="C38" s="5">
        <v>12.54</v>
      </c>
      <c r="D38" s="5">
        <v>50</v>
      </c>
      <c r="E38" s="5">
        <v>10</v>
      </c>
      <c r="F38" s="7">
        <v>0.58645268792940142</v>
      </c>
      <c r="G38" s="6">
        <v>7.0000000000000001E-3</v>
      </c>
      <c r="H38" s="9">
        <f t="shared" si="0"/>
        <v>0.57945268792940141</v>
      </c>
    </row>
    <row r="39" spans="1:8">
      <c r="A39" s="5">
        <v>37</v>
      </c>
      <c r="B39" s="6" t="s">
        <v>432</v>
      </c>
      <c r="C39" s="5">
        <v>17.7</v>
      </c>
      <c r="D39" s="5">
        <v>50</v>
      </c>
      <c r="E39" s="5">
        <v>10</v>
      </c>
      <c r="F39" s="7">
        <v>0.41548681958388101</v>
      </c>
      <c r="G39" s="6">
        <v>2E-3</v>
      </c>
      <c r="H39" s="9">
        <f t="shared" si="0"/>
        <v>0.413486819583881</v>
      </c>
    </row>
    <row r="40" spans="1:8">
      <c r="A40" s="5">
        <v>38</v>
      </c>
      <c r="B40" s="6" t="s">
        <v>433</v>
      </c>
      <c r="C40" s="5">
        <v>18.95</v>
      </c>
      <c r="D40" s="5">
        <v>50</v>
      </c>
      <c r="E40" s="5">
        <v>10</v>
      </c>
      <c r="F40" s="7">
        <v>0.38808003728942975</v>
      </c>
      <c r="G40" s="6">
        <v>3.5999999999999997E-2</v>
      </c>
      <c r="H40" s="9">
        <f t="shared" si="0"/>
        <v>0.35208003728942977</v>
      </c>
    </row>
    <row r="41" spans="1:8">
      <c r="A41" s="5">
        <v>39</v>
      </c>
      <c r="B41" s="6" t="s">
        <v>434</v>
      </c>
      <c r="C41" s="5">
        <v>4.2</v>
      </c>
      <c r="D41" s="5">
        <v>50</v>
      </c>
      <c r="E41" s="5">
        <v>10</v>
      </c>
      <c r="F41" s="7">
        <v>1.7509801682463557</v>
      </c>
      <c r="G41" s="6">
        <v>3.9E-2</v>
      </c>
      <c r="H41" s="9">
        <f t="shared" si="0"/>
        <v>1.7119801682463558</v>
      </c>
    </row>
    <row r="42" spans="1:8">
      <c r="A42" s="5">
        <v>40</v>
      </c>
      <c r="B42" s="6" t="s">
        <v>435</v>
      </c>
      <c r="C42" s="5">
        <v>8</v>
      </c>
      <c r="D42" s="5">
        <v>50</v>
      </c>
      <c r="E42" s="5">
        <v>10</v>
      </c>
      <c r="F42" s="7">
        <v>0.91926458832933666</v>
      </c>
      <c r="G42" s="6">
        <v>0.221</v>
      </c>
      <c r="H42" s="9">
        <f t="shared" si="0"/>
        <v>0.69826458832933669</v>
      </c>
    </row>
    <row r="43" spans="1:8">
      <c r="A43" s="5">
        <v>41</v>
      </c>
      <c r="B43" s="6" t="s">
        <v>436</v>
      </c>
      <c r="C43" s="5">
        <v>7.05</v>
      </c>
      <c r="D43" s="5">
        <v>50</v>
      </c>
      <c r="E43" s="5">
        <v>10</v>
      </c>
      <c r="F43" s="7">
        <v>1.043137121508467</v>
      </c>
      <c r="G43" s="6">
        <v>1E-3</v>
      </c>
      <c r="H43" s="9">
        <f t="shared" si="0"/>
        <v>1.0421371215084672</v>
      </c>
    </row>
    <row r="44" spans="1:8">
      <c r="A44" s="5">
        <v>42</v>
      </c>
      <c r="B44" s="6" t="s">
        <v>437</v>
      </c>
      <c r="C44" s="5">
        <v>13.04</v>
      </c>
      <c r="D44" s="5">
        <v>50</v>
      </c>
      <c r="E44" s="5">
        <v>10</v>
      </c>
      <c r="F44" s="7">
        <v>0.56396600511002248</v>
      </c>
      <c r="G44" s="6">
        <v>6.0000000000000001E-3</v>
      </c>
      <c r="H44" s="9">
        <f t="shared" si="0"/>
        <v>0.55796600511002248</v>
      </c>
    </row>
    <row r="45" spans="1:8">
      <c r="A45" s="5">
        <v>43</v>
      </c>
      <c r="B45" s="6" t="s">
        <v>438</v>
      </c>
      <c r="C45" s="5">
        <v>2.6749999999999998</v>
      </c>
      <c r="D45" s="5">
        <v>70</v>
      </c>
      <c r="E45" s="5">
        <v>10</v>
      </c>
      <c r="F45" s="7">
        <v>3.7868887210400781</v>
      </c>
      <c r="G45" s="6">
        <v>3.5000000000000003E-2</v>
      </c>
      <c r="H45" s="9">
        <f t="shared" si="0"/>
        <v>3.751888721040078</v>
      </c>
    </row>
    <row r="46" spans="1:8">
      <c r="A46" s="5">
        <v>44</v>
      </c>
      <c r="B46" s="6" t="s">
        <v>439</v>
      </c>
      <c r="C46" s="5">
        <v>5.12</v>
      </c>
      <c r="D46" s="5">
        <v>50</v>
      </c>
      <c r="E46" s="5">
        <v>10</v>
      </c>
      <c r="F46" s="7">
        <v>1.4363509192645885</v>
      </c>
      <c r="G46" s="6">
        <v>0.08</v>
      </c>
      <c r="H46" s="9">
        <f t="shared" si="0"/>
        <v>1.3563509192645884</v>
      </c>
    </row>
    <row r="47" spans="1:8">
      <c r="A47" s="5">
        <v>45</v>
      </c>
      <c r="B47" s="6" t="s">
        <v>440</v>
      </c>
      <c r="C47" s="5">
        <v>0.36</v>
      </c>
      <c r="D47" s="5">
        <v>35</v>
      </c>
      <c r="E47" s="5">
        <v>10</v>
      </c>
      <c r="F47" s="7">
        <v>2.7853000000000003</v>
      </c>
      <c r="G47" s="6">
        <v>0</v>
      </c>
      <c r="H47" s="9">
        <f t="shared" si="0"/>
        <v>2.7853000000000003</v>
      </c>
    </row>
    <row r="48" spans="1:8">
      <c r="A48" s="5">
        <v>46</v>
      </c>
      <c r="B48" s="6" t="s">
        <v>441</v>
      </c>
      <c r="C48" s="5">
        <v>1.4</v>
      </c>
      <c r="D48" s="5">
        <v>35</v>
      </c>
      <c r="E48" s="5">
        <v>10</v>
      </c>
      <c r="F48" s="7">
        <v>2.7853000000000003</v>
      </c>
      <c r="G48" s="6">
        <v>1.6E-2</v>
      </c>
      <c r="H48" s="9">
        <f t="shared" si="0"/>
        <v>2.7693000000000003</v>
      </c>
    </row>
    <row r="49" spans="1:8">
      <c r="A49" s="5">
        <v>47</v>
      </c>
      <c r="B49" s="6" t="s">
        <v>442</v>
      </c>
      <c r="C49" s="5">
        <v>14.1</v>
      </c>
      <c r="D49" s="5">
        <v>50</v>
      </c>
      <c r="E49" s="5">
        <v>10</v>
      </c>
      <c r="F49" s="7">
        <v>0.52156856075423352</v>
      </c>
      <c r="G49" s="6">
        <v>0</v>
      </c>
      <c r="H49" s="9">
        <f t="shared" si="0"/>
        <v>0.52156856075423352</v>
      </c>
    </row>
    <row r="50" spans="1:8">
      <c r="A50" s="5">
        <v>48</v>
      </c>
      <c r="B50" s="6" t="s">
        <v>443</v>
      </c>
      <c r="C50" s="5">
        <v>11.2</v>
      </c>
      <c r="D50" s="5">
        <v>50</v>
      </c>
      <c r="E50" s="5">
        <v>10</v>
      </c>
      <c r="F50" s="7">
        <v>0.65661756309238339</v>
      </c>
      <c r="G50" s="6">
        <v>2E-3</v>
      </c>
      <c r="H50" s="9">
        <f t="shared" si="0"/>
        <v>0.65461756309238339</v>
      </c>
    </row>
    <row r="51" spans="1:8">
      <c r="A51" s="5">
        <v>49</v>
      </c>
      <c r="B51" s="6" t="s">
        <v>444</v>
      </c>
      <c r="C51" s="5">
        <v>16.7</v>
      </c>
      <c r="D51" s="5">
        <v>35</v>
      </c>
      <c r="E51" s="5">
        <v>10</v>
      </c>
      <c r="F51" s="7">
        <v>0.34149405132210164</v>
      </c>
      <c r="G51" s="6">
        <v>3.4000000000000002E-2</v>
      </c>
      <c r="H51" s="9">
        <f t="shared" si="0"/>
        <v>0.30749405132210161</v>
      </c>
    </row>
    <row r="52" spans="1:8">
      <c r="A52" s="5">
        <v>50</v>
      </c>
      <c r="B52" s="6" t="s">
        <v>445</v>
      </c>
      <c r="C52" s="5">
        <v>0.7</v>
      </c>
      <c r="D52" s="5">
        <v>50</v>
      </c>
      <c r="E52" s="5">
        <v>10</v>
      </c>
      <c r="F52" s="7">
        <v>3.3423600000000007</v>
      </c>
      <c r="G52" s="6">
        <v>8.9999999999999993E-3</v>
      </c>
      <c r="H52" s="9">
        <f t="shared" si="0"/>
        <v>3.3333600000000008</v>
      </c>
    </row>
    <row r="53" spans="1:8">
      <c r="A53" s="5">
        <v>51</v>
      </c>
      <c r="B53" s="6" t="s">
        <v>446</v>
      </c>
      <c r="C53" s="5">
        <v>4.5</v>
      </c>
      <c r="D53" s="5">
        <v>35</v>
      </c>
      <c r="E53" s="5">
        <v>10</v>
      </c>
      <c r="F53" s="7">
        <v>1.2673223682397996</v>
      </c>
      <c r="G53" s="6">
        <v>5.1999999999999998E-2</v>
      </c>
      <c r="H53" s="9">
        <f t="shared" si="0"/>
        <v>1.2153223682397996</v>
      </c>
    </row>
    <row r="54" spans="1:8">
      <c r="A54" s="5">
        <v>52</v>
      </c>
      <c r="B54" s="6" t="s">
        <v>447</v>
      </c>
      <c r="C54" s="5">
        <v>1.7</v>
      </c>
      <c r="D54" s="5">
        <v>35</v>
      </c>
      <c r="E54" s="5">
        <v>10</v>
      </c>
      <c r="F54" s="7">
        <v>2.7853000000000003</v>
      </c>
      <c r="G54" s="6">
        <v>8.9999999999999993E-3</v>
      </c>
      <c r="H54" s="9">
        <f t="shared" si="0"/>
        <v>2.7763000000000004</v>
      </c>
    </row>
    <row r="55" spans="1:8">
      <c r="A55" s="5">
        <v>53</v>
      </c>
      <c r="B55" s="6" t="s">
        <v>448</v>
      </c>
      <c r="C55" s="5">
        <v>25.22</v>
      </c>
      <c r="D55" s="5">
        <v>50</v>
      </c>
      <c r="E55" s="5">
        <v>10</v>
      </c>
      <c r="F55" s="7">
        <v>0.29159860058028131</v>
      </c>
      <c r="G55" s="6">
        <v>0.04</v>
      </c>
      <c r="H55" s="9">
        <f t="shared" si="0"/>
        <v>0.25159860058028133</v>
      </c>
    </row>
    <row r="56" spans="1:8">
      <c r="A56" s="5">
        <v>54</v>
      </c>
      <c r="B56" s="6" t="s">
        <v>449</v>
      </c>
      <c r="C56" s="5">
        <v>23.86</v>
      </c>
      <c r="D56" s="5">
        <v>35</v>
      </c>
      <c r="E56" s="5">
        <v>10</v>
      </c>
      <c r="F56" s="7">
        <v>0.23901721110976942</v>
      </c>
      <c r="G56" s="10">
        <f>0.12+0.0146+0.00955</f>
        <v>0.14415</v>
      </c>
      <c r="H56" s="9">
        <f t="shared" si="0"/>
        <v>9.4867211109769423E-2</v>
      </c>
    </row>
    <row r="57" spans="1:8">
      <c r="A57" s="5">
        <v>55</v>
      </c>
      <c r="B57" s="6" t="s">
        <v>405</v>
      </c>
      <c r="C57" s="5">
        <v>7.6</v>
      </c>
      <c r="D57" s="5">
        <v>35</v>
      </c>
      <c r="E57" s="5">
        <v>10</v>
      </c>
      <c r="F57" s="7">
        <v>0.75038824435251283</v>
      </c>
      <c r="G57" s="6">
        <v>8.9999999999999993E-3</v>
      </c>
      <c r="H57" s="9">
        <f t="shared" si="0"/>
        <v>0.74138824435251283</v>
      </c>
    </row>
    <row r="58" spans="1:8">
      <c r="A58" s="5">
        <v>56</v>
      </c>
      <c r="B58" s="6" t="s">
        <v>450</v>
      </c>
      <c r="C58" s="5">
        <v>10.27</v>
      </c>
      <c r="D58" s="5">
        <v>50</v>
      </c>
      <c r="E58" s="5">
        <v>10</v>
      </c>
      <c r="F58" s="7">
        <v>0.71607757610853873</v>
      </c>
      <c r="G58" s="6">
        <v>8.9999999999999993E-3</v>
      </c>
      <c r="H58" s="9">
        <f t="shared" si="0"/>
        <v>0.70707757610853872</v>
      </c>
    </row>
    <row r="59" spans="1:8">
      <c r="A59" s="5">
        <v>57</v>
      </c>
      <c r="B59" s="6" t="s">
        <v>451</v>
      </c>
      <c r="C59" s="5">
        <v>1</v>
      </c>
      <c r="D59" s="5">
        <v>50</v>
      </c>
      <c r="E59" s="5">
        <v>10</v>
      </c>
      <c r="F59" s="7">
        <v>3.3423600000000007</v>
      </c>
      <c r="G59" s="6">
        <v>3.3000000000000002E-2</v>
      </c>
      <c r="H59" s="9">
        <f t="shared" si="0"/>
        <v>3.3093600000000007</v>
      </c>
    </row>
    <row r="60" spans="1:8">
      <c r="A60" s="5">
        <v>58</v>
      </c>
      <c r="B60" s="6" t="s">
        <v>452</v>
      </c>
      <c r="C60" s="5">
        <v>3.32</v>
      </c>
      <c r="D60" s="5">
        <v>35</v>
      </c>
      <c r="E60" s="5">
        <v>10</v>
      </c>
      <c r="F60" s="7">
        <v>1.7177562220117766</v>
      </c>
      <c r="G60" s="6">
        <v>4.7E-2</v>
      </c>
      <c r="H60" s="9">
        <f t="shared" si="0"/>
        <v>1.6707562220117766</v>
      </c>
    </row>
    <row r="61" spans="1:8">
      <c r="A61" s="5">
        <v>59</v>
      </c>
      <c r="B61" s="6" t="s">
        <v>453</v>
      </c>
      <c r="C61" s="5">
        <v>40.6</v>
      </c>
      <c r="D61" s="5">
        <v>50</v>
      </c>
      <c r="E61" s="5">
        <v>10</v>
      </c>
      <c r="F61" s="7">
        <v>0.18113587947376092</v>
      </c>
      <c r="G61" s="6">
        <f>0.243+0.0025</f>
        <v>0.2455</v>
      </c>
      <c r="H61" s="9">
        <f t="shared" si="0"/>
        <v>-6.4364120526239077E-2</v>
      </c>
    </row>
    <row r="62" spans="1:8">
      <c r="A62" s="5">
        <v>60</v>
      </c>
      <c r="B62" s="6" t="s">
        <v>454</v>
      </c>
      <c r="C62" s="5">
        <v>1</v>
      </c>
      <c r="D62" s="5">
        <v>35</v>
      </c>
      <c r="E62" s="5">
        <v>10</v>
      </c>
      <c r="F62" s="7">
        <v>2.7853000000000003</v>
      </c>
      <c r="G62" s="6">
        <v>1.7000000000000001E-2</v>
      </c>
      <c r="H62" s="9">
        <f t="shared" si="0"/>
        <v>2.7683000000000004</v>
      </c>
    </row>
    <row r="63" spans="1:8">
      <c r="A63" s="5">
        <v>61</v>
      </c>
      <c r="B63" s="6" t="s">
        <v>455</v>
      </c>
      <c r="C63" s="5">
        <v>4</v>
      </c>
      <c r="D63" s="5">
        <v>50</v>
      </c>
      <c r="E63" s="5">
        <v>10</v>
      </c>
      <c r="F63" s="7">
        <v>1.8385291766586733</v>
      </c>
      <c r="G63" s="6">
        <f>0.052+0.01</f>
        <v>6.2E-2</v>
      </c>
      <c r="H63" s="9">
        <f t="shared" si="0"/>
        <v>1.7765291766586733</v>
      </c>
    </row>
    <row r="64" spans="1:8">
      <c r="A64" s="5">
        <v>62</v>
      </c>
      <c r="B64" s="6" t="s">
        <v>456</v>
      </c>
      <c r="C64" s="5">
        <v>2.6</v>
      </c>
      <c r="D64" s="5">
        <v>35</v>
      </c>
      <c r="E64" s="5">
        <v>10</v>
      </c>
      <c r="F64" s="7">
        <v>2.193442560415038</v>
      </c>
      <c r="G64" s="6">
        <v>2.5999999999999999E-2</v>
      </c>
      <c r="H64" s="9">
        <f t="shared" si="0"/>
        <v>2.1674425604150382</v>
      </c>
    </row>
    <row r="65" spans="1:8">
      <c r="A65" s="5">
        <v>63</v>
      </c>
      <c r="B65" s="6" t="s">
        <v>457</v>
      </c>
      <c r="C65" s="5">
        <v>7.54</v>
      </c>
      <c r="D65" s="5">
        <v>35</v>
      </c>
      <c r="E65" s="5">
        <v>10</v>
      </c>
      <c r="F65" s="7">
        <v>0.75635950359139237</v>
      </c>
      <c r="G65" s="6">
        <f>0.017+0.0105</f>
        <v>2.7500000000000004E-2</v>
      </c>
      <c r="H65" s="9">
        <f t="shared" si="0"/>
        <v>0.7288595035913924</v>
      </c>
    </row>
    <row r="66" spans="1:8">
      <c r="A66" s="5">
        <v>64</v>
      </c>
      <c r="B66" s="6" t="s">
        <v>458</v>
      </c>
      <c r="C66" s="5">
        <v>7.2</v>
      </c>
      <c r="D66" s="5">
        <v>35</v>
      </c>
      <c r="E66" s="5">
        <v>10</v>
      </c>
      <c r="F66" s="7">
        <v>0.79207648014987464</v>
      </c>
      <c r="G66" s="6">
        <v>5.0999999999999997E-2</v>
      </c>
      <c r="H66" s="9">
        <f t="shared" si="0"/>
        <v>0.74107648014987459</v>
      </c>
    </row>
    <row r="67" spans="1:8">
      <c r="A67" s="5">
        <v>65</v>
      </c>
      <c r="B67" s="6" t="s">
        <v>459</v>
      </c>
      <c r="C67" s="5">
        <v>1.75</v>
      </c>
      <c r="D67" s="5">
        <v>35</v>
      </c>
      <c r="E67" s="5">
        <v>10</v>
      </c>
      <c r="F67" s="7">
        <v>2.7853000000000003</v>
      </c>
      <c r="G67" s="6">
        <v>8.9999999999999993E-3</v>
      </c>
      <c r="H67" s="9">
        <f t="shared" si="0"/>
        <v>2.7763000000000004</v>
      </c>
    </row>
    <row r="68" spans="1:8">
      <c r="A68" s="5">
        <v>66</v>
      </c>
      <c r="B68" s="6" t="s">
        <v>460</v>
      </c>
      <c r="C68" s="5">
        <v>3.96</v>
      </c>
      <c r="D68" s="5">
        <v>50</v>
      </c>
      <c r="E68" s="5">
        <v>10</v>
      </c>
      <c r="F68" s="7">
        <v>1.8571001784431043</v>
      </c>
      <c r="G68" s="6">
        <f>0.186+0.001</f>
        <v>0.187</v>
      </c>
      <c r="H68" s="9">
        <f t="shared" ref="H68:H77" si="1">F68-G68</f>
        <v>1.6701001784431042</v>
      </c>
    </row>
    <row r="69" spans="1:8">
      <c r="A69" s="5">
        <v>67</v>
      </c>
      <c r="B69" s="6" t="s">
        <v>461</v>
      </c>
      <c r="C69" s="5">
        <v>11.18</v>
      </c>
      <c r="D69" s="5">
        <v>35</v>
      </c>
      <c r="E69" s="5">
        <v>10</v>
      </c>
      <c r="F69" s="7">
        <v>0.51010292102675292</v>
      </c>
      <c r="G69" s="6">
        <f>0.084+0.001</f>
        <v>8.5000000000000006E-2</v>
      </c>
      <c r="H69" s="9">
        <f t="shared" si="1"/>
        <v>0.4251029210267529</v>
      </c>
    </row>
    <row r="70" spans="1:8">
      <c r="A70" s="5">
        <v>68</v>
      </c>
      <c r="B70" s="6" t="s">
        <v>462</v>
      </c>
      <c r="C70" s="5">
        <v>5</v>
      </c>
      <c r="D70" s="5">
        <v>35</v>
      </c>
      <c r="E70" s="5">
        <v>10</v>
      </c>
      <c r="F70" s="7">
        <v>1.1405901314158196</v>
      </c>
      <c r="G70" s="6">
        <v>4.2000000000000003E-2</v>
      </c>
      <c r="H70" s="9">
        <f t="shared" si="1"/>
        <v>1.0985901314158195</v>
      </c>
    </row>
    <row r="71" spans="1:8">
      <c r="A71" s="5">
        <v>69</v>
      </c>
      <c r="B71" s="6" t="s">
        <v>463</v>
      </c>
      <c r="C71" s="5">
        <v>24.05</v>
      </c>
      <c r="D71" s="5">
        <v>35</v>
      </c>
      <c r="E71" s="5">
        <v>10</v>
      </c>
      <c r="F71" s="7">
        <v>0.23712892545027434</v>
      </c>
      <c r="G71" s="6">
        <v>2.5000000000000001E-2</v>
      </c>
      <c r="H71" s="9">
        <f t="shared" si="1"/>
        <v>0.21212892545027434</v>
      </c>
    </row>
    <row r="72" spans="1:8">
      <c r="A72" s="5">
        <v>70</v>
      </c>
      <c r="B72" s="6" t="s">
        <v>464</v>
      </c>
      <c r="C72" s="5">
        <v>5.13</v>
      </c>
      <c r="D72" s="5">
        <v>70</v>
      </c>
      <c r="E72" s="5">
        <v>10</v>
      </c>
      <c r="F72" s="7">
        <v>1.9746447034663175</v>
      </c>
      <c r="G72" s="6">
        <v>6.7000000000000004E-2</v>
      </c>
      <c r="H72" s="9">
        <f t="shared" si="1"/>
        <v>1.9076447034663175</v>
      </c>
    </row>
    <row r="73" spans="1:8">
      <c r="A73" s="5">
        <v>71</v>
      </c>
      <c r="B73" s="6" t="s">
        <v>1004</v>
      </c>
      <c r="C73" s="5">
        <v>1</v>
      </c>
      <c r="D73" s="5">
        <v>35</v>
      </c>
      <c r="E73" s="5">
        <v>10</v>
      </c>
      <c r="F73" s="7">
        <v>2.7853000000000003</v>
      </c>
      <c r="G73" s="6">
        <v>8.4000000000000005E-2</v>
      </c>
      <c r="H73" s="9">
        <f t="shared" si="1"/>
        <v>2.7013000000000003</v>
      </c>
    </row>
    <row r="74" spans="1:8">
      <c r="A74" s="5">
        <v>72</v>
      </c>
      <c r="B74" s="6" t="s">
        <v>1003</v>
      </c>
      <c r="C74" s="5">
        <v>3.44</v>
      </c>
      <c r="D74" s="5">
        <v>35</v>
      </c>
      <c r="E74" s="5">
        <v>10</v>
      </c>
      <c r="F74" s="7">
        <v>1.6578344933369471</v>
      </c>
      <c r="G74" s="6">
        <v>0.1</v>
      </c>
      <c r="H74" s="9">
        <f t="shared" si="1"/>
        <v>1.557834493336947</v>
      </c>
    </row>
    <row r="75" spans="1:8">
      <c r="A75" s="5">
        <v>73</v>
      </c>
      <c r="B75" s="6" t="s">
        <v>465</v>
      </c>
      <c r="C75" s="5">
        <v>6.3</v>
      </c>
      <c r="D75" s="5">
        <v>50</v>
      </c>
      <c r="E75" s="5">
        <v>10</v>
      </c>
      <c r="F75" s="7">
        <v>1.1673201121642371</v>
      </c>
      <c r="G75" s="6">
        <v>1.7000000000000001E-2</v>
      </c>
      <c r="H75" s="9">
        <f t="shared" si="1"/>
        <v>1.1503201121642372</v>
      </c>
    </row>
    <row r="76" spans="1:8">
      <c r="A76" s="5">
        <v>74</v>
      </c>
      <c r="B76" s="6" t="s">
        <v>466</v>
      </c>
      <c r="C76" s="5">
        <v>9.1999999999999993</v>
      </c>
      <c r="D76" s="5">
        <v>35</v>
      </c>
      <c r="E76" s="5">
        <v>10</v>
      </c>
      <c r="F76" s="7">
        <v>0.61988594098685845</v>
      </c>
      <c r="G76" s="6"/>
      <c r="H76" s="9">
        <f t="shared" si="1"/>
        <v>0.61988594098685845</v>
      </c>
    </row>
    <row r="77" spans="1:8">
      <c r="A77" s="5">
        <v>75</v>
      </c>
      <c r="B77" s="6" t="s">
        <v>467</v>
      </c>
      <c r="C77" s="5">
        <v>13.65</v>
      </c>
      <c r="D77" s="5">
        <v>35</v>
      </c>
      <c r="E77" s="5">
        <v>10</v>
      </c>
      <c r="F77" s="7">
        <v>0.41779858293619765</v>
      </c>
      <c r="G77" s="6"/>
      <c r="H77" s="9">
        <f t="shared" si="1"/>
        <v>0.41779858293619765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8"/>
  <sheetViews>
    <sheetView view="pageBreakPreview" topLeftCell="B1" zoomScale="130" zoomScaleNormal="100" zoomScaleSheetLayoutView="130" workbookViewId="0">
      <pane xSplit="1" ySplit="2" topLeftCell="C39" activePane="bottomRight" state="frozen"/>
      <selection activeCell="B1" sqref="B1"/>
      <selection pane="topRight" activeCell="C1" sqref="C1"/>
      <selection pane="bottomLeft" activeCell="B3" sqref="B3"/>
      <selection pane="bottomRight" activeCell="E51" sqref="E51"/>
    </sheetView>
  </sheetViews>
  <sheetFormatPr defaultColWidth="9.140625" defaultRowHeight="15"/>
  <cols>
    <col min="1" max="1" width="9.140625" style="4"/>
    <col min="2" max="2" width="32.5703125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468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469</v>
      </c>
      <c r="C3" s="5">
        <v>1.3</v>
      </c>
      <c r="D3" s="5">
        <v>35</v>
      </c>
      <c r="E3" s="5">
        <v>10</v>
      </c>
      <c r="F3" s="7">
        <v>2.7853000000000003</v>
      </c>
      <c r="G3" s="6">
        <v>2.4E-2</v>
      </c>
      <c r="H3" s="9">
        <f>F3-G3</f>
        <v>2.7613000000000003</v>
      </c>
    </row>
    <row r="4" spans="1:9">
      <c r="A4" s="5">
        <v>2</v>
      </c>
      <c r="B4" s="6" t="s">
        <v>470</v>
      </c>
      <c r="C4" s="5">
        <v>4.68</v>
      </c>
      <c r="D4" s="5">
        <v>35</v>
      </c>
      <c r="E4" s="5">
        <v>10</v>
      </c>
      <c r="F4" s="7">
        <v>1.2185792002305766</v>
      </c>
      <c r="G4" s="6">
        <v>7.0999999999999994E-2</v>
      </c>
      <c r="H4" s="9">
        <f t="shared" ref="H4:H67" si="0">F4-G4</f>
        <v>1.1475792002305767</v>
      </c>
    </row>
    <row r="5" spans="1:9">
      <c r="A5" s="5">
        <v>3</v>
      </c>
      <c r="B5" s="6" t="s">
        <v>471</v>
      </c>
      <c r="C5" s="5">
        <v>17.600000000000001</v>
      </c>
      <c r="D5" s="5">
        <v>50</v>
      </c>
      <c r="E5" s="5">
        <v>10</v>
      </c>
      <c r="F5" s="7">
        <v>0.41784754014969849</v>
      </c>
      <c r="G5" s="6">
        <v>1.6E-2</v>
      </c>
      <c r="H5" s="9">
        <f t="shared" si="0"/>
        <v>0.40184754014969848</v>
      </c>
    </row>
    <row r="6" spans="1:9">
      <c r="A6" s="5">
        <v>4</v>
      </c>
      <c r="B6" s="6" t="s">
        <v>472</v>
      </c>
      <c r="C6" s="5">
        <v>0.12</v>
      </c>
      <c r="D6" s="5">
        <v>35</v>
      </c>
      <c r="E6" s="5">
        <v>10</v>
      </c>
      <c r="F6" s="7">
        <v>2.7853000000000003</v>
      </c>
      <c r="G6" s="6">
        <v>1.0999999999999999E-2</v>
      </c>
      <c r="H6" s="9">
        <f t="shared" si="0"/>
        <v>2.7743000000000002</v>
      </c>
    </row>
    <row r="7" spans="1:9">
      <c r="A7" s="5">
        <v>5</v>
      </c>
      <c r="B7" s="6" t="s">
        <v>473</v>
      </c>
      <c r="C7" s="5">
        <v>29.12</v>
      </c>
      <c r="D7" s="5">
        <v>50</v>
      </c>
      <c r="E7" s="5">
        <v>10</v>
      </c>
      <c r="F7" s="7">
        <v>0.25254521657399359</v>
      </c>
      <c r="G7" s="6">
        <v>3.7999999999999999E-2</v>
      </c>
      <c r="H7" s="9">
        <f t="shared" si="0"/>
        <v>0.21454521657399359</v>
      </c>
    </row>
    <row r="8" spans="1:9">
      <c r="A8" s="5">
        <v>6</v>
      </c>
      <c r="B8" s="6" t="s">
        <v>474</v>
      </c>
      <c r="C8" s="5">
        <v>5.25</v>
      </c>
      <c r="D8" s="5">
        <v>50</v>
      </c>
      <c r="E8" s="5">
        <v>10</v>
      </c>
      <c r="F8" s="7">
        <v>1.4007841345970844</v>
      </c>
      <c r="G8" s="6">
        <v>6.4000000000000001E-2</v>
      </c>
      <c r="H8" s="9">
        <f t="shared" si="0"/>
        <v>1.3367841345970843</v>
      </c>
    </row>
    <row r="9" spans="1:9">
      <c r="A9" s="5">
        <v>7</v>
      </c>
      <c r="B9" s="6" t="s">
        <v>475</v>
      </c>
      <c r="C9" s="5">
        <v>7.24</v>
      </c>
      <c r="D9" s="5">
        <v>35</v>
      </c>
      <c r="E9" s="5">
        <v>10</v>
      </c>
      <c r="F9" s="7">
        <v>0.78770036699987545</v>
      </c>
      <c r="G9" s="10">
        <f>0.377+0.00915+0.006+0.0064</f>
        <v>0.39855000000000002</v>
      </c>
      <c r="H9" s="9">
        <f t="shared" si="0"/>
        <v>0.38915036699987543</v>
      </c>
    </row>
    <row r="10" spans="1:9">
      <c r="A10" s="5">
        <v>8</v>
      </c>
      <c r="B10" s="6" t="s">
        <v>476</v>
      </c>
      <c r="C10" s="5">
        <v>3.72</v>
      </c>
      <c r="D10" s="5">
        <v>35</v>
      </c>
      <c r="E10" s="5">
        <v>10</v>
      </c>
      <c r="F10" s="7">
        <v>1.5330512519029833</v>
      </c>
      <c r="G10" s="6">
        <v>0.32800000000000001</v>
      </c>
      <c r="H10" s="9">
        <f t="shared" si="0"/>
        <v>1.2050512519029832</v>
      </c>
    </row>
    <row r="11" spans="1:9">
      <c r="A11" s="5">
        <v>9</v>
      </c>
      <c r="B11" s="6" t="s">
        <v>477</v>
      </c>
      <c r="C11" s="5">
        <v>0.3</v>
      </c>
      <c r="D11" s="5">
        <v>25</v>
      </c>
      <c r="E11" s="5">
        <v>10</v>
      </c>
      <c r="F11" s="7">
        <v>2.0690800000000005</v>
      </c>
      <c r="G11" s="6">
        <v>8.0000000000000002E-3</v>
      </c>
      <c r="H11" s="9">
        <f t="shared" si="0"/>
        <v>2.0610800000000005</v>
      </c>
    </row>
    <row r="12" spans="1:9">
      <c r="A12" s="5">
        <v>10</v>
      </c>
      <c r="B12" s="6" t="s">
        <v>478</v>
      </c>
      <c r="C12" s="5">
        <v>11.22</v>
      </c>
      <c r="D12" s="5">
        <v>50</v>
      </c>
      <c r="E12" s="5">
        <v>10</v>
      </c>
      <c r="F12" s="7">
        <v>0.65544712180344866</v>
      </c>
      <c r="G12" s="6">
        <v>0.19700000000000001</v>
      </c>
      <c r="H12" s="9">
        <f t="shared" si="0"/>
        <v>0.45844712180344865</v>
      </c>
    </row>
    <row r="13" spans="1:9">
      <c r="A13" s="5">
        <v>11</v>
      </c>
      <c r="B13" s="6" t="s">
        <v>479</v>
      </c>
      <c r="C13" s="5">
        <v>4.6500000000000004</v>
      </c>
      <c r="D13" s="5">
        <v>25</v>
      </c>
      <c r="E13" s="5">
        <v>10</v>
      </c>
      <c r="F13" s="7">
        <v>0.83291008826130941</v>
      </c>
      <c r="G13" s="6">
        <f>0.115+0.00888</f>
        <v>0.12388</v>
      </c>
      <c r="H13" s="9">
        <f t="shared" si="0"/>
        <v>0.70903008826130942</v>
      </c>
    </row>
    <row r="14" spans="1:9">
      <c r="A14" s="5">
        <v>12</v>
      </c>
      <c r="B14" s="6" t="s">
        <v>480</v>
      </c>
      <c r="C14" s="5">
        <v>0.72</v>
      </c>
      <c r="D14" s="5">
        <v>35</v>
      </c>
      <c r="E14" s="5">
        <v>10</v>
      </c>
      <c r="F14" s="7">
        <v>2.7853000000000003</v>
      </c>
      <c r="G14" s="6">
        <v>1.6E-2</v>
      </c>
      <c r="H14" s="9">
        <f t="shared" si="0"/>
        <v>2.7693000000000003</v>
      </c>
    </row>
    <row r="15" spans="1:9">
      <c r="A15" s="5">
        <v>13</v>
      </c>
      <c r="B15" s="6" t="s">
        <v>481</v>
      </c>
      <c r="C15" s="5">
        <v>19.12</v>
      </c>
      <c r="D15" s="5">
        <v>35</v>
      </c>
      <c r="E15" s="5">
        <v>10</v>
      </c>
      <c r="F15" s="7">
        <v>0.2982714778807059</v>
      </c>
      <c r="G15" s="6">
        <v>6.7000000000000004E-2</v>
      </c>
      <c r="H15" s="9">
        <f t="shared" si="0"/>
        <v>0.2312714778807059</v>
      </c>
    </row>
    <row r="16" spans="1:9">
      <c r="A16" s="5">
        <v>14</v>
      </c>
      <c r="B16" s="6" t="s">
        <v>482</v>
      </c>
      <c r="C16" s="5">
        <v>4.7</v>
      </c>
      <c r="D16" s="5">
        <v>35</v>
      </c>
      <c r="E16" s="5">
        <v>10</v>
      </c>
      <c r="F16" s="7">
        <v>1.2133937568253399</v>
      </c>
      <c r="G16" s="6">
        <v>9.1999999999999998E-2</v>
      </c>
      <c r="H16" s="9">
        <f t="shared" si="0"/>
        <v>1.1213937568253398</v>
      </c>
    </row>
    <row r="17" spans="1:8">
      <c r="A17" s="5">
        <v>15</v>
      </c>
      <c r="B17" s="6" t="s">
        <v>483</v>
      </c>
      <c r="C17" s="5">
        <v>1.05</v>
      </c>
      <c r="D17" s="5">
        <v>35</v>
      </c>
      <c r="E17" s="5">
        <v>10</v>
      </c>
      <c r="F17" s="7">
        <v>2.7853000000000003</v>
      </c>
      <c r="G17" s="6">
        <v>1.7000000000000001E-2</v>
      </c>
      <c r="H17" s="9">
        <f t="shared" si="0"/>
        <v>2.7683000000000004</v>
      </c>
    </row>
    <row r="18" spans="1:8">
      <c r="A18" s="5">
        <v>16</v>
      </c>
      <c r="B18" s="6" t="s">
        <v>484</v>
      </c>
      <c r="C18" s="5">
        <v>11.9</v>
      </c>
      <c r="D18" s="5">
        <v>25</v>
      </c>
      <c r="E18" s="5">
        <v>10</v>
      </c>
      <c r="F18" s="7">
        <v>0.32546486642143602</v>
      </c>
      <c r="G18" s="6">
        <v>0.05</v>
      </c>
      <c r="H18" s="9">
        <f t="shared" si="0"/>
        <v>0.27546486642143603</v>
      </c>
    </row>
    <row r="19" spans="1:8">
      <c r="A19" s="5">
        <v>17</v>
      </c>
      <c r="B19" s="6" t="s">
        <v>485</v>
      </c>
      <c r="C19" s="5">
        <v>2.85</v>
      </c>
      <c r="D19" s="5">
        <v>25</v>
      </c>
      <c r="E19" s="5">
        <v>10</v>
      </c>
      <c r="F19" s="7">
        <v>1.3589585650579259</v>
      </c>
      <c r="G19" s="6">
        <v>8.4000000000000005E-2</v>
      </c>
      <c r="H19" s="9">
        <f t="shared" si="0"/>
        <v>1.2749585650579258</v>
      </c>
    </row>
    <row r="20" spans="1:8">
      <c r="A20" s="5">
        <v>18</v>
      </c>
      <c r="B20" s="6" t="s">
        <v>486</v>
      </c>
      <c r="C20" s="5">
        <v>2.1</v>
      </c>
      <c r="D20" s="5">
        <v>25</v>
      </c>
      <c r="E20" s="5">
        <v>10</v>
      </c>
      <c r="F20" s="7">
        <v>1.8443009097214709</v>
      </c>
      <c r="G20" s="6">
        <v>5.0000000000000001E-3</v>
      </c>
      <c r="H20" s="9">
        <f t="shared" si="0"/>
        <v>1.839300909721471</v>
      </c>
    </row>
    <row r="21" spans="1:8">
      <c r="A21" s="5">
        <v>19</v>
      </c>
      <c r="B21" s="6" t="s">
        <v>487</v>
      </c>
      <c r="C21" s="5">
        <v>2.31</v>
      </c>
      <c r="D21" s="5">
        <v>25</v>
      </c>
      <c r="E21" s="5">
        <v>10</v>
      </c>
      <c r="F21" s="7">
        <v>1.6766371906558828</v>
      </c>
      <c r="G21" s="6">
        <v>7.0000000000000001E-3</v>
      </c>
      <c r="H21" s="9">
        <f t="shared" si="0"/>
        <v>1.6696371906558829</v>
      </c>
    </row>
    <row r="22" spans="1:8">
      <c r="A22" s="5">
        <v>20</v>
      </c>
      <c r="B22" s="6" t="s">
        <v>488</v>
      </c>
      <c r="C22" s="5">
        <v>0.6</v>
      </c>
      <c r="D22" s="5">
        <v>35</v>
      </c>
      <c r="E22" s="5">
        <v>10</v>
      </c>
      <c r="F22" s="7">
        <v>2.7853000000000003</v>
      </c>
      <c r="G22" s="6">
        <v>4.0000000000000001E-3</v>
      </c>
      <c r="H22" s="9">
        <f t="shared" si="0"/>
        <v>2.7813000000000003</v>
      </c>
    </row>
    <row r="23" spans="1:8">
      <c r="A23" s="5">
        <v>21</v>
      </c>
      <c r="B23" s="6" t="s">
        <v>489</v>
      </c>
      <c r="C23" s="5">
        <v>8.5</v>
      </c>
      <c r="D23" s="5">
        <v>25</v>
      </c>
      <c r="E23" s="5">
        <v>10</v>
      </c>
      <c r="F23" s="7">
        <v>0.45565081299001042</v>
      </c>
      <c r="G23" s="6">
        <v>7.0000000000000001E-3</v>
      </c>
      <c r="H23" s="9">
        <f t="shared" si="0"/>
        <v>0.44865081299001042</v>
      </c>
    </row>
    <row r="24" spans="1:8">
      <c r="A24" s="5">
        <v>22</v>
      </c>
      <c r="B24" s="6" t="s">
        <v>490</v>
      </c>
      <c r="C24" s="5">
        <v>1.82</v>
      </c>
      <c r="D24" s="5">
        <v>35</v>
      </c>
      <c r="E24" s="5">
        <v>10</v>
      </c>
      <c r="F24" s="7">
        <v>2.7853000000000003</v>
      </c>
      <c r="G24" s="6">
        <v>6.0000000000000001E-3</v>
      </c>
      <c r="H24" s="9">
        <f t="shared" si="0"/>
        <v>2.7793000000000005</v>
      </c>
    </row>
    <row r="25" spans="1:8">
      <c r="A25" s="5">
        <v>23</v>
      </c>
      <c r="B25" s="6" t="s">
        <v>491</v>
      </c>
      <c r="C25" s="5">
        <v>1.6</v>
      </c>
      <c r="D25" s="5">
        <v>35</v>
      </c>
      <c r="E25" s="5">
        <v>10</v>
      </c>
      <c r="F25" s="7">
        <v>2.7853000000000003</v>
      </c>
      <c r="G25" s="6">
        <v>0</v>
      </c>
      <c r="H25" s="9">
        <f t="shared" si="0"/>
        <v>2.7853000000000003</v>
      </c>
    </row>
    <row r="26" spans="1:8">
      <c r="A26" s="5">
        <v>24</v>
      </c>
      <c r="B26" s="6" t="s">
        <v>492</v>
      </c>
      <c r="C26" s="5">
        <v>1.9</v>
      </c>
      <c r="D26" s="5">
        <v>35</v>
      </c>
      <c r="E26" s="5">
        <v>10</v>
      </c>
      <c r="F26" s="7">
        <v>2.7853000000000003</v>
      </c>
      <c r="G26" s="6">
        <v>1.7999999999999999E-2</v>
      </c>
      <c r="H26" s="9">
        <f t="shared" si="0"/>
        <v>2.7673000000000005</v>
      </c>
    </row>
    <row r="27" spans="1:8">
      <c r="A27" s="5">
        <v>25</v>
      </c>
      <c r="B27" s="6" t="s">
        <v>493</v>
      </c>
      <c r="C27" s="5">
        <v>0.6</v>
      </c>
      <c r="D27" s="5">
        <v>50</v>
      </c>
      <c r="E27" s="5">
        <v>10</v>
      </c>
      <c r="F27" s="7">
        <v>3.3423600000000007</v>
      </c>
      <c r="G27" s="6">
        <v>1.2E-2</v>
      </c>
      <c r="H27" s="9">
        <f t="shared" si="0"/>
        <v>3.3303600000000007</v>
      </c>
    </row>
    <row r="28" spans="1:8">
      <c r="A28" s="5">
        <v>26</v>
      </c>
      <c r="B28" s="6" t="s">
        <v>494</v>
      </c>
      <c r="C28" s="5">
        <v>3.6</v>
      </c>
      <c r="D28" s="5">
        <v>35</v>
      </c>
      <c r="E28" s="5">
        <v>10</v>
      </c>
      <c r="F28" s="7">
        <v>1.5841529602997493</v>
      </c>
      <c r="G28" s="6">
        <v>6.4000000000000001E-2</v>
      </c>
      <c r="H28" s="9">
        <f t="shared" si="0"/>
        <v>1.5201529602997492</v>
      </c>
    </row>
    <row r="29" spans="1:8">
      <c r="A29" s="5">
        <v>27</v>
      </c>
      <c r="B29" s="6" t="s">
        <v>495</v>
      </c>
      <c r="C29" s="5">
        <v>3.36</v>
      </c>
      <c r="D29" s="5">
        <v>35</v>
      </c>
      <c r="E29" s="5">
        <v>10</v>
      </c>
      <c r="F29" s="7">
        <v>1.6973067431783029</v>
      </c>
      <c r="G29" s="6">
        <v>6.7000000000000004E-2</v>
      </c>
      <c r="H29" s="9">
        <f t="shared" si="0"/>
        <v>1.6303067431783029</v>
      </c>
    </row>
    <row r="30" spans="1:8">
      <c r="A30" s="5">
        <v>28</v>
      </c>
      <c r="B30" s="6" t="s">
        <v>496</v>
      </c>
      <c r="C30" s="5">
        <v>1.8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9">
        <f t="shared" si="0"/>
        <v>3.3253600000000008</v>
      </c>
    </row>
    <row r="31" spans="1:8">
      <c r="A31" s="5">
        <v>29</v>
      </c>
      <c r="B31" s="6" t="s">
        <v>497</v>
      </c>
      <c r="C31" s="5">
        <v>2.1</v>
      </c>
      <c r="D31" s="5">
        <v>50</v>
      </c>
      <c r="E31" s="5">
        <v>10</v>
      </c>
      <c r="F31" s="7">
        <v>3.3423600000000007</v>
      </c>
      <c r="G31" s="6">
        <v>3.3000000000000002E-2</v>
      </c>
      <c r="H31" s="9">
        <f t="shared" si="0"/>
        <v>3.3093600000000007</v>
      </c>
    </row>
    <row r="32" spans="1:8">
      <c r="A32" s="5">
        <v>30</v>
      </c>
      <c r="B32" s="6" t="s">
        <v>498</v>
      </c>
      <c r="C32" s="5">
        <v>10.8</v>
      </c>
      <c r="D32" s="5">
        <v>50</v>
      </c>
      <c r="E32" s="5">
        <v>10</v>
      </c>
      <c r="F32" s="7">
        <v>0.68093673209580485</v>
      </c>
      <c r="G32" s="6">
        <v>1.7000000000000001E-2</v>
      </c>
      <c r="H32" s="9">
        <f t="shared" si="0"/>
        <v>0.66393673209580484</v>
      </c>
    </row>
    <row r="33" spans="1:8">
      <c r="A33" s="5">
        <v>31</v>
      </c>
      <c r="B33" s="6" t="s">
        <v>499</v>
      </c>
      <c r="C33" s="5">
        <v>7.64</v>
      </c>
      <c r="D33" s="5">
        <v>35</v>
      </c>
      <c r="E33" s="5">
        <v>10</v>
      </c>
      <c r="F33" s="7">
        <v>0.74645951008888722</v>
      </c>
      <c r="G33" s="6">
        <v>8.0000000000000002E-3</v>
      </c>
      <c r="H33" s="9">
        <f t="shared" si="0"/>
        <v>0.73845951008888722</v>
      </c>
    </row>
    <row r="34" spans="1:8">
      <c r="A34" s="5">
        <v>32</v>
      </c>
      <c r="B34" s="6" t="s">
        <v>500</v>
      </c>
      <c r="C34" s="5">
        <v>1.95</v>
      </c>
      <c r="D34" s="5">
        <v>35</v>
      </c>
      <c r="E34" s="5">
        <v>10</v>
      </c>
      <c r="F34" s="7">
        <v>2.7853000000000003</v>
      </c>
      <c r="G34" s="6">
        <v>5.8000000000000003E-2</v>
      </c>
      <c r="H34" s="9">
        <f t="shared" si="0"/>
        <v>2.7273000000000005</v>
      </c>
    </row>
    <row r="35" spans="1:8">
      <c r="A35" s="5">
        <v>33</v>
      </c>
      <c r="B35" s="6" t="s">
        <v>501</v>
      </c>
      <c r="C35" s="5">
        <v>17</v>
      </c>
      <c r="D35" s="5">
        <v>35</v>
      </c>
      <c r="E35" s="5">
        <v>10</v>
      </c>
      <c r="F35" s="7">
        <v>0.3354676857105352</v>
      </c>
      <c r="G35" s="6">
        <v>8.0000000000000002E-3</v>
      </c>
      <c r="H35" s="9">
        <f t="shared" si="0"/>
        <v>0.32746768571053519</v>
      </c>
    </row>
    <row r="36" spans="1:8">
      <c r="A36" s="5">
        <v>34</v>
      </c>
      <c r="B36" s="6" t="s">
        <v>502</v>
      </c>
      <c r="C36" s="5">
        <v>2.1</v>
      </c>
      <c r="D36" s="5">
        <v>35</v>
      </c>
      <c r="E36" s="5">
        <v>10</v>
      </c>
      <c r="F36" s="7">
        <v>2.7156907890852851</v>
      </c>
      <c r="G36" s="6">
        <v>8.4000000000000005E-2</v>
      </c>
      <c r="H36" s="9">
        <f t="shared" si="0"/>
        <v>2.631690789085285</v>
      </c>
    </row>
    <row r="37" spans="1:8">
      <c r="A37" s="5">
        <v>35</v>
      </c>
      <c r="B37" s="6" t="s">
        <v>503</v>
      </c>
      <c r="C37" s="5">
        <v>1</v>
      </c>
      <c r="D37" s="5">
        <v>35</v>
      </c>
      <c r="E37" s="5">
        <v>10</v>
      </c>
      <c r="F37" s="7">
        <v>2.7853000000000003</v>
      </c>
      <c r="G37" s="10">
        <f>0.017+0.00915</f>
        <v>2.615E-2</v>
      </c>
      <c r="H37" s="9">
        <f t="shared" si="0"/>
        <v>2.7591500000000004</v>
      </c>
    </row>
    <row r="38" spans="1:8">
      <c r="A38" s="5">
        <v>36</v>
      </c>
      <c r="B38" s="6" t="s">
        <v>504</v>
      </c>
      <c r="C38" s="5">
        <v>0.55000000000000004</v>
      </c>
      <c r="D38" s="5">
        <v>50</v>
      </c>
      <c r="E38" s="5">
        <v>10</v>
      </c>
      <c r="F38" s="7">
        <v>3.3423600000000007</v>
      </c>
      <c r="G38" s="6">
        <v>2E-3</v>
      </c>
      <c r="H38" s="9">
        <f t="shared" si="0"/>
        <v>3.3403600000000009</v>
      </c>
    </row>
    <row r="39" spans="1:8">
      <c r="A39" s="5">
        <v>37</v>
      </c>
      <c r="B39" s="6" t="s">
        <v>505</v>
      </c>
      <c r="C39" s="5">
        <v>0.9</v>
      </c>
      <c r="D39" s="5">
        <v>35</v>
      </c>
      <c r="E39" s="5">
        <v>10</v>
      </c>
      <c r="F39" s="7">
        <v>2.7853000000000003</v>
      </c>
      <c r="G39" s="6">
        <v>0.05</v>
      </c>
      <c r="H39" s="9">
        <f t="shared" si="0"/>
        <v>2.7353000000000005</v>
      </c>
    </row>
    <row r="40" spans="1:8">
      <c r="A40" s="5">
        <v>38</v>
      </c>
      <c r="B40" s="6" t="s">
        <v>506</v>
      </c>
      <c r="C40" s="5">
        <v>1.3</v>
      </c>
      <c r="D40" s="5">
        <v>35</v>
      </c>
      <c r="E40" s="5">
        <v>10</v>
      </c>
      <c r="F40" s="7">
        <v>2.7853000000000003</v>
      </c>
      <c r="G40" s="6">
        <v>8.0000000000000002E-3</v>
      </c>
      <c r="H40" s="9">
        <f t="shared" si="0"/>
        <v>2.7773000000000003</v>
      </c>
    </row>
    <row r="41" spans="1:8">
      <c r="A41" s="5">
        <v>39</v>
      </c>
      <c r="B41" s="6" t="s">
        <v>507</v>
      </c>
      <c r="C41" s="5">
        <v>3.5</v>
      </c>
      <c r="D41" s="5">
        <v>35</v>
      </c>
      <c r="E41" s="5">
        <v>10</v>
      </c>
      <c r="F41" s="7">
        <v>1.6294144734511709</v>
      </c>
      <c r="G41" s="6">
        <v>3.0000000000000001E-3</v>
      </c>
      <c r="H41" s="9">
        <f t="shared" si="0"/>
        <v>1.626414473451171</v>
      </c>
    </row>
    <row r="42" spans="1:8">
      <c r="A42" s="5">
        <v>40</v>
      </c>
      <c r="B42" s="6" t="s">
        <v>508</v>
      </c>
      <c r="C42" s="5">
        <v>3.3</v>
      </c>
      <c r="D42" s="5">
        <v>35</v>
      </c>
      <c r="E42" s="5">
        <v>10</v>
      </c>
      <c r="F42" s="7">
        <v>1.728166865781545</v>
      </c>
      <c r="G42" s="6">
        <v>6.7000000000000004E-2</v>
      </c>
      <c r="H42" s="9">
        <f t="shared" si="0"/>
        <v>1.661166865781545</v>
      </c>
    </row>
    <row r="43" spans="1:8">
      <c r="A43" s="5">
        <v>41</v>
      </c>
      <c r="B43" s="6" t="s">
        <v>509</v>
      </c>
      <c r="C43" s="5">
        <v>10.199999999999999</v>
      </c>
      <c r="D43" s="5">
        <v>35</v>
      </c>
      <c r="E43" s="5">
        <v>10</v>
      </c>
      <c r="F43" s="7">
        <v>0.5591128095175586</v>
      </c>
      <c r="G43" s="6">
        <v>6.0000000000000001E-3</v>
      </c>
      <c r="H43" s="9">
        <f t="shared" si="0"/>
        <v>0.55311280951755859</v>
      </c>
    </row>
    <row r="44" spans="1:8">
      <c r="A44" s="5">
        <v>42</v>
      </c>
      <c r="B44" s="6" t="s">
        <v>510</v>
      </c>
      <c r="C44" s="5">
        <v>6.44</v>
      </c>
      <c r="D44" s="5">
        <v>35</v>
      </c>
      <c r="E44" s="5">
        <v>10</v>
      </c>
      <c r="F44" s="7">
        <v>0.8855513442669406</v>
      </c>
      <c r="G44" s="6">
        <f>0.018+0.0917</f>
        <v>0.10970000000000001</v>
      </c>
      <c r="H44" s="9">
        <f t="shared" si="0"/>
        <v>0.77585134426694058</v>
      </c>
    </row>
    <row r="45" spans="1:8">
      <c r="A45" s="5">
        <v>43</v>
      </c>
      <c r="B45" s="6" t="s">
        <v>511</v>
      </c>
      <c r="C45" s="5">
        <v>3.5</v>
      </c>
      <c r="D45" s="5">
        <v>50</v>
      </c>
      <c r="E45" s="5">
        <v>10</v>
      </c>
      <c r="F45" s="7">
        <v>2.101176201895627</v>
      </c>
      <c r="G45" s="6">
        <v>1.7000000000000001E-2</v>
      </c>
      <c r="H45" s="9">
        <f t="shared" si="0"/>
        <v>2.0841762018956271</v>
      </c>
    </row>
    <row r="46" spans="1:8">
      <c r="A46" s="5">
        <v>44</v>
      </c>
      <c r="B46" s="6" t="s">
        <v>512</v>
      </c>
      <c r="C46" s="5">
        <v>7.9</v>
      </c>
      <c r="D46" s="5">
        <v>50</v>
      </c>
      <c r="E46" s="5">
        <v>10</v>
      </c>
      <c r="F46" s="7">
        <v>0.93090084894110048</v>
      </c>
      <c r="G46" s="6">
        <f>0.144+0.00747</f>
        <v>0.15146999999999999</v>
      </c>
      <c r="H46" s="9">
        <f t="shared" si="0"/>
        <v>0.77943084894110048</v>
      </c>
    </row>
    <row r="47" spans="1:8">
      <c r="A47" s="5">
        <v>45</v>
      </c>
      <c r="B47" s="6" t="s">
        <v>513</v>
      </c>
      <c r="C47" s="5">
        <v>2.5499999999999998</v>
      </c>
      <c r="D47" s="5">
        <v>50</v>
      </c>
      <c r="E47" s="5">
        <v>10</v>
      </c>
      <c r="F47" s="7">
        <v>2.8839673359351741</v>
      </c>
      <c r="G47" s="6">
        <v>8.8999999999999996E-2</v>
      </c>
      <c r="H47" s="9">
        <f t="shared" si="0"/>
        <v>2.7949673359351741</v>
      </c>
    </row>
    <row r="48" spans="1:8">
      <c r="A48" s="5">
        <v>46</v>
      </c>
      <c r="B48" s="6" t="s">
        <v>514</v>
      </c>
      <c r="C48" s="5">
        <v>12</v>
      </c>
      <c r="D48" s="5">
        <v>50</v>
      </c>
      <c r="E48" s="5">
        <v>10</v>
      </c>
      <c r="F48" s="7">
        <v>0.61284305888622448</v>
      </c>
      <c r="G48" s="6">
        <v>8.4000000000000005E-2</v>
      </c>
      <c r="H48" s="9">
        <f t="shared" si="0"/>
        <v>0.52884305888622452</v>
      </c>
    </row>
    <row r="49" spans="1:8">
      <c r="A49" s="5">
        <v>47</v>
      </c>
      <c r="B49" s="6" t="s">
        <v>515</v>
      </c>
      <c r="C49" s="5">
        <v>1.5</v>
      </c>
      <c r="D49" s="5">
        <v>35</v>
      </c>
      <c r="E49" s="5">
        <v>10</v>
      </c>
      <c r="F49" s="7">
        <v>2.7853000000000003</v>
      </c>
      <c r="G49" s="6">
        <v>8.0000000000000002E-3</v>
      </c>
      <c r="H49" s="9">
        <f t="shared" si="0"/>
        <v>2.7773000000000003</v>
      </c>
    </row>
    <row r="50" spans="1:8">
      <c r="A50" s="5">
        <v>48</v>
      </c>
      <c r="B50" s="6" t="s">
        <v>516</v>
      </c>
      <c r="C50" s="5">
        <v>1.34</v>
      </c>
      <c r="D50" s="5">
        <v>50</v>
      </c>
      <c r="E50" s="5">
        <v>10</v>
      </c>
      <c r="F50" s="7">
        <v>3.3423600000000007</v>
      </c>
      <c r="G50" s="6">
        <v>0.04</v>
      </c>
      <c r="H50" s="9">
        <f t="shared" si="0"/>
        <v>3.3023600000000006</v>
      </c>
    </row>
    <row r="51" spans="1:8">
      <c r="A51" s="5">
        <v>49</v>
      </c>
      <c r="B51" s="6" t="s">
        <v>517</v>
      </c>
      <c r="C51" s="5">
        <v>4.5199999999999996</v>
      </c>
      <c r="D51" s="5">
        <v>50</v>
      </c>
      <c r="E51" s="5">
        <v>10</v>
      </c>
      <c r="F51" s="7">
        <v>1.6270169704944013</v>
      </c>
      <c r="G51" s="6">
        <v>8.7999999999999995E-2</v>
      </c>
      <c r="H51" s="9">
        <f t="shared" si="0"/>
        <v>1.5390169704944012</v>
      </c>
    </row>
    <row r="52" spans="1:8">
      <c r="A52" s="5">
        <v>50</v>
      </c>
      <c r="B52" s="6" t="s">
        <v>518</v>
      </c>
      <c r="C52" s="5">
        <v>1.61</v>
      </c>
      <c r="D52" s="5">
        <v>50</v>
      </c>
      <c r="E52" s="5">
        <v>10</v>
      </c>
      <c r="F52" s="7">
        <v>3.3423600000000007</v>
      </c>
      <c r="G52" s="6">
        <v>2.5999999999999999E-2</v>
      </c>
      <c r="H52" s="9">
        <f t="shared" si="0"/>
        <v>3.3163600000000009</v>
      </c>
    </row>
    <row r="53" spans="1:8">
      <c r="A53" s="5">
        <v>51</v>
      </c>
      <c r="B53" s="6" t="s">
        <v>519</v>
      </c>
      <c r="C53" s="5">
        <v>1.5</v>
      </c>
      <c r="D53" s="5">
        <v>35</v>
      </c>
      <c r="E53" s="5">
        <v>10</v>
      </c>
      <c r="F53" s="7">
        <v>2.7853000000000003</v>
      </c>
      <c r="G53" s="6">
        <v>4.0000000000000001E-3</v>
      </c>
      <c r="H53" s="9">
        <f t="shared" si="0"/>
        <v>2.7813000000000003</v>
      </c>
    </row>
    <row r="54" spans="1:8">
      <c r="A54" s="5">
        <v>52</v>
      </c>
      <c r="B54" s="6" t="s">
        <v>520</v>
      </c>
      <c r="C54" s="5">
        <v>14.7</v>
      </c>
      <c r="D54" s="5">
        <v>35</v>
      </c>
      <c r="E54" s="5">
        <v>10</v>
      </c>
      <c r="F54" s="7">
        <v>0.38795582701218356</v>
      </c>
      <c r="G54" s="6">
        <f>0.019+0.89</f>
        <v>0.90900000000000003</v>
      </c>
      <c r="H54" s="9">
        <f t="shared" si="0"/>
        <v>-0.52104417298781647</v>
      </c>
    </row>
    <row r="55" spans="1:8">
      <c r="A55" s="5">
        <v>53</v>
      </c>
      <c r="B55" s="6" t="s">
        <v>521</v>
      </c>
      <c r="C55" s="5">
        <v>5.4</v>
      </c>
      <c r="D55" s="5">
        <v>35</v>
      </c>
      <c r="E55" s="5">
        <v>10</v>
      </c>
      <c r="F55" s="7">
        <v>1.056101973533166</v>
      </c>
      <c r="G55" s="6">
        <v>3.1E-2</v>
      </c>
      <c r="H55" s="9">
        <f t="shared" si="0"/>
        <v>1.0251019735331661</v>
      </c>
    </row>
    <row r="56" spans="1:8">
      <c r="A56" s="5">
        <v>54</v>
      </c>
      <c r="B56" s="6" t="s">
        <v>522</v>
      </c>
      <c r="C56" s="5">
        <v>1.56</v>
      </c>
      <c r="D56" s="5">
        <v>35</v>
      </c>
      <c r="E56" s="5">
        <v>10</v>
      </c>
      <c r="F56" s="7">
        <v>2.7853000000000003</v>
      </c>
      <c r="G56" s="10">
        <f>0.112+0.0095+0.0095+0.006+0.0095+0.0095</f>
        <v>0.15600000000000003</v>
      </c>
      <c r="H56" s="9">
        <f t="shared" si="0"/>
        <v>2.6293000000000002</v>
      </c>
    </row>
    <row r="57" spans="1:8">
      <c r="A57" s="5">
        <v>55</v>
      </c>
      <c r="B57" s="6" t="s">
        <v>523</v>
      </c>
      <c r="C57" s="5">
        <v>3.7</v>
      </c>
      <c r="D57" s="5">
        <v>35</v>
      </c>
      <c r="E57" s="5">
        <v>10</v>
      </c>
      <c r="F57" s="7">
        <v>1.5413380154267831</v>
      </c>
      <c r="G57" s="6">
        <v>0</v>
      </c>
      <c r="H57" s="9">
        <f t="shared" si="0"/>
        <v>1.5413380154267831</v>
      </c>
    </row>
    <row r="58" spans="1:8">
      <c r="A58" s="5">
        <v>56</v>
      </c>
      <c r="B58" s="6" t="s">
        <v>524</v>
      </c>
      <c r="C58" s="5">
        <v>2.0499999999999998</v>
      </c>
      <c r="D58" s="5">
        <v>35</v>
      </c>
      <c r="E58" s="5">
        <v>10</v>
      </c>
      <c r="F58" s="7">
        <v>2.781927149794682</v>
      </c>
      <c r="G58" s="6">
        <v>0.28000000000000003</v>
      </c>
      <c r="H58" s="9">
        <f t="shared" si="0"/>
        <v>2.5019271497946818</v>
      </c>
    </row>
    <row r="59" spans="1:8">
      <c r="A59" s="5">
        <v>57</v>
      </c>
      <c r="B59" s="6" t="s">
        <v>525</v>
      </c>
      <c r="C59" s="5">
        <v>5.59</v>
      </c>
      <c r="D59" s="5">
        <v>35</v>
      </c>
      <c r="E59" s="5">
        <v>10</v>
      </c>
      <c r="F59" s="7">
        <v>1.0202058420535058</v>
      </c>
      <c r="G59" s="6">
        <f>0.21+0.00854</f>
        <v>0.21853999999999998</v>
      </c>
      <c r="H59" s="9">
        <f t="shared" si="0"/>
        <v>0.80166584205350588</v>
      </c>
    </row>
    <row r="60" spans="1:8">
      <c r="A60" s="5">
        <v>58</v>
      </c>
      <c r="B60" s="6" t="s">
        <v>526</v>
      </c>
      <c r="C60" s="5">
        <v>3.56</v>
      </c>
      <c r="D60" s="5">
        <v>35</v>
      </c>
      <c r="E60" s="5">
        <v>10</v>
      </c>
      <c r="F60" s="7">
        <v>1.6019524317637914</v>
      </c>
      <c r="G60" s="6">
        <v>0.28000000000000003</v>
      </c>
      <c r="H60" s="9">
        <f t="shared" si="0"/>
        <v>1.3219524317637914</v>
      </c>
    </row>
    <row r="61" spans="1:8">
      <c r="A61" s="5">
        <v>59</v>
      </c>
      <c r="B61" s="6" t="s">
        <v>527</v>
      </c>
      <c r="C61" s="5">
        <v>3.36</v>
      </c>
      <c r="D61" s="5">
        <v>35</v>
      </c>
      <c r="E61" s="5">
        <v>10</v>
      </c>
      <c r="F61" s="7">
        <v>1.6973067431783029</v>
      </c>
      <c r="G61" s="6">
        <v>9.2999999999999999E-2</v>
      </c>
      <c r="H61" s="9">
        <f t="shared" si="0"/>
        <v>1.6043067431783029</v>
      </c>
    </row>
    <row r="62" spans="1:8">
      <c r="A62" s="5">
        <v>60</v>
      </c>
      <c r="B62" s="6" t="s">
        <v>528</v>
      </c>
      <c r="C62" s="5">
        <v>6.77</v>
      </c>
      <c r="D62" s="5">
        <v>35</v>
      </c>
      <c r="E62" s="5">
        <v>10</v>
      </c>
      <c r="F62" s="7">
        <v>0.8423856214297043</v>
      </c>
      <c r="G62" s="6">
        <v>0.19700000000000001</v>
      </c>
      <c r="H62" s="9">
        <f t="shared" si="0"/>
        <v>0.64538562142970424</v>
      </c>
    </row>
    <row r="63" spans="1:8">
      <c r="A63" s="5">
        <v>61</v>
      </c>
      <c r="B63" s="6" t="s">
        <v>529</v>
      </c>
      <c r="C63" s="5">
        <v>18.96</v>
      </c>
      <c r="D63" s="5">
        <v>35</v>
      </c>
      <c r="E63" s="5">
        <v>10</v>
      </c>
      <c r="F63" s="7">
        <v>0.30078853676577516</v>
      </c>
      <c r="G63" s="6">
        <v>0.14499999999999999</v>
      </c>
      <c r="H63" s="9">
        <f t="shared" si="0"/>
        <v>0.15578853676577517</v>
      </c>
    </row>
    <row r="64" spans="1:8">
      <c r="A64" s="5">
        <v>62</v>
      </c>
      <c r="B64" s="6" t="s">
        <v>530</v>
      </c>
      <c r="C64" s="5">
        <v>2.0499999999999998</v>
      </c>
      <c r="D64" s="5">
        <v>35</v>
      </c>
      <c r="E64" s="5">
        <v>10</v>
      </c>
      <c r="F64" s="7">
        <v>2.781927149794682</v>
      </c>
      <c r="G64" s="6">
        <v>0.28000000000000003</v>
      </c>
      <c r="H64" s="9">
        <f t="shared" si="0"/>
        <v>2.5019271497946818</v>
      </c>
    </row>
    <row r="65" spans="1:8">
      <c r="A65" s="5">
        <v>63</v>
      </c>
      <c r="B65" s="6" t="s">
        <v>531</v>
      </c>
      <c r="C65" s="5">
        <v>6.08</v>
      </c>
      <c r="D65" s="5">
        <v>35</v>
      </c>
      <c r="E65" s="5">
        <v>10</v>
      </c>
      <c r="F65" s="7">
        <v>0.93798530544064118</v>
      </c>
      <c r="G65" s="6">
        <v>5.1999999999999998E-2</v>
      </c>
      <c r="H65" s="9">
        <f t="shared" si="0"/>
        <v>0.88598530544064114</v>
      </c>
    </row>
    <row r="66" spans="1:8">
      <c r="A66" s="5">
        <v>64</v>
      </c>
      <c r="B66" s="6" t="s">
        <v>532</v>
      </c>
      <c r="C66" s="5">
        <v>3.34</v>
      </c>
      <c r="D66" s="5">
        <v>35</v>
      </c>
      <c r="E66" s="5">
        <v>10</v>
      </c>
      <c r="F66" s="7">
        <v>1.7074702566105087</v>
      </c>
      <c r="G66" s="6">
        <v>0.22600000000000001</v>
      </c>
      <c r="H66" s="9">
        <f t="shared" si="0"/>
        <v>1.4814702566105087</v>
      </c>
    </row>
    <row r="67" spans="1:8">
      <c r="A67" s="5">
        <v>65</v>
      </c>
      <c r="B67" s="6" t="s">
        <v>533</v>
      </c>
      <c r="C67" s="5">
        <v>5.0999999999999996</v>
      </c>
      <c r="D67" s="5">
        <v>35</v>
      </c>
      <c r="E67" s="5">
        <v>10</v>
      </c>
      <c r="F67" s="7">
        <v>1.1182256190351172</v>
      </c>
      <c r="G67" s="6">
        <v>0.13600000000000001</v>
      </c>
      <c r="H67" s="9">
        <f t="shared" si="0"/>
        <v>0.98222561903511718</v>
      </c>
    </row>
    <row r="68" spans="1:8">
      <c r="A68" s="5">
        <v>66</v>
      </c>
      <c r="B68" s="6" t="s">
        <v>534</v>
      </c>
      <c r="C68" s="5">
        <v>6.37</v>
      </c>
      <c r="D68" s="5">
        <v>35</v>
      </c>
      <c r="E68" s="5">
        <v>10</v>
      </c>
      <c r="F68" s="7">
        <v>0.89528267772042347</v>
      </c>
      <c r="G68" s="6">
        <v>7.0000000000000007E-2</v>
      </c>
      <c r="H68" s="9">
        <f t="shared" ref="H68:H78" si="1">F68-G68</f>
        <v>0.82528267772042341</v>
      </c>
    </row>
    <row r="69" spans="1:8">
      <c r="A69" s="5">
        <v>67</v>
      </c>
      <c r="B69" s="6" t="s">
        <v>535</v>
      </c>
      <c r="C69" s="5">
        <v>3.15</v>
      </c>
      <c r="D69" s="5">
        <v>35</v>
      </c>
      <c r="E69" s="5">
        <v>10</v>
      </c>
      <c r="F69" s="7">
        <v>1.8104605260568567</v>
      </c>
      <c r="G69" s="6">
        <v>8.6999999999999994E-2</v>
      </c>
      <c r="H69" s="9">
        <f t="shared" si="1"/>
        <v>1.7234605260568567</v>
      </c>
    </row>
    <row r="70" spans="1:8">
      <c r="A70" s="5">
        <v>68</v>
      </c>
      <c r="B70" s="6" t="s">
        <v>536</v>
      </c>
      <c r="C70" s="5">
        <v>3.5</v>
      </c>
      <c r="D70" s="5">
        <v>35</v>
      </c>
      <c r="E70" s="5">
        <v>10</v>
      </c>
      <c r="F70" s="7">
        <v>1.6294144734511709</v>
      </c>
      <c r="G70" s="6">
        <v>8.5000000000000006E-2</v>
      </c>
      <c r="H70" s="9">
        <f t="shared" si="1"/>
        <v>1.5444144734511709</v>
      </c>
    </row>
    <row r="71" spans="1:8">
      <c r="A71" s="5">
        <v>69</v>
      </c>
      <c r="B71" s="6" t="s">
        <v>537</v>
      </c>
      <c r="C71" s="5">
        <v>2.14</v>
      </c>
      <c r="D71" s="5">
        <v>35</v>
      </c>
      <c r="E71" s="5">
        <v>10</v>
      </c>
      <c r="F71" s="7">
        <v>2.6649302135883635</v>
      </c>
      <c r="G71" s="6">
        <v>8.5000000000000006E-2</v>
      </c>
      <c r="H71" s="9">
        <f t="shared" si="1"/>
        <v>2.5799302135883635</v>
      </c>
    </row>
    <row r="72" spans="1:8">
      <c r="A72" s="5">
        <v>70</v>
      </c>
      <c r="B72" s="6" t="s">
        <v>538</v>
      </c>
      <c r="C72" s="5">
        <v>2.4</v>
      </c>
      <c r="D72" s="5">
        <v>35</v>
      </c>
      <c r="E72" s="5">
        <v>10</v>
      </c>
      <c r="F72" s="7">
        <v>2.3762294404496247</v>
      </c>
      <c r="G72" s="6">
        <v>3.4000000000000002E-2</v>
      </c>
      <c r="H72" s="9">
        <f t="shared" si="1"/>
        <v>2.3422294404496249</v>
      </c>
    </row>
    <row r="73" spans="1:8">
      <c r="A73" s="5">
        <v>71</v>
      </c>
      <c r="B73" s="6" t="s">
        <v>539</v>
      </c>
      <c r="C73" s="5">
        <v>3.24</v>
      </c>
      <c r="D73" s="5">
        <v>35</v>
      </c>
      <c r="E73" s="5">
        <v>10</v>
      </c>
      <c r="F73" s="7">
        <v>1.7601699558886104</v>
      </c>
      <c r="G73" s="6">
        <v>8.5999999999999993E-2</v>
      </c>
      <c r="H73" s="9">
        <f t="shared" si="1"/>
        <v>1.6741699558886103</v>
      </c>
    </row>
    <row r="74" spans="1:8">
      <c r="A74" s="5">
        <v>72</v>
      </c>
      <c r="B74" s="6" t="s">
        <v>540</v>
      </c>
      <c r="C74" s="5">
        <v>5.7</v>
      </c>
      <c r="D74" s="5">
        <v>35</v>
      </c>
      <c r="E74" s="5">
        <v>10</v>
      </c>
      <c r="F74" s="7">
        <v>1.0005176591366838</v>
      </c>
      <c r="G74" s="6">
        <f>0.069+0.0324</f>
        <v>0.1014</v>
      </c>
      <c r="H74" s="9">
        <f t="shared" si="1"/>
        <v>0.89911765913668373</v>
      </c>
    </row>
    <row r="75" spans="1:8">
      <c r="A75" s="5">
        <v>73</v>
      </c>
      <c r="B75" s="6" t="s">
        <v>541</v>
      </c>
      <c r="C75" s="5">
        <v>14.49</v>
      </c>
      <c r="D75" s="5">
        <v>35</v>
      </c>
      <c r="E75" s="5">
        <v>10</v>
      </c>
      <c r="F75" s="7">
        <v>0.39357837522975136</v>
      </c>
      <c r="G75" s="6">
        <v>0.20599999999999999</v>
      </c>
      <c r="H75" s="9">
        <f t="shared" si="1"/>
        <v>0.18757837522975138</v>
      </c>
    </row>
    <row r="76" spans="1:8">
      <c r="A76" s="5">
        <v>74</v>
      </c>
      <c r="B76" s="6" t="s">
        <v>542</v>
      </c>
      <c r="C76" s="5">
        <v>13</v>
      </c>
      <c r="D76" s="5">
        <v>35</v>
      </c>
      <c r="E76" s="5">
        <v>10</v>
      </c>
      <c r="F76" s="7">
        <v>0.43868851208300752</v>
      </c>
      <c r="G76" s="6">
        <v>3.5000000000000003E-2</v>
      </c>
      <c r="H76" s="9">
        <f t="shared" si="1"/>
        <v>0.40368851208300749</v>
      </c>
    </row>
    <row r="77" spans="1:8">
      <c r="A77" s="5">
        <v>75</v>
      </c>
      <c r="B77" s="6" t="s">
        <v>543</v>
      </c>
      <c r="C77" s="5">
        <v>2.31</v>
      </c>
      <c r="D77" s="5">
        <v>35</v>
      </c>
      <c r="E77" s="5">
        <v>10</v>
      </c>
      <c r="F77" s="7">
        <v>2.4688098082593495</v>
      </c>
      <c r="G77" s="6">
        <v>5.1999999999999998E-2</v>
      </c>
      <c r="H77" s="9">
        <f t="shared" si="1"/>
        <v>2.4168098082593494</v>
      </c>
    </row>
    <row r="78" spans="1:8">
      <c r="A78" s="5">
        <v>76</v>
      </c>
      <c r="B78" s="6" t="s">
        <v>544</v>
      </c>
      <c r="C78" s="5">
        <v>2.5</v>
      </c>
      <c r="D78" s="5">
        <v>35</v>
      </c>
      <c r="E78" s="5">
        <v>10</v>
      </c>
      <c r="F78" s="7">
        <v>2.2811802628316391</v>
      </c>
      <c r="G78" s="6">
        <v>4.0000000000000001E-3</v>
      </c>
      <c r="H78" s="9">
        <f t="shared" si="1"/>
        <v>2.2771802628316391</v>
      </c>
    </row>
  </sheetData>
  <mergeCells count="1">
    <mergeCell ref="A2:H2"/>
  </mergeCells>
  <pageMargins left="0.7" right="0.7" top="0.75" bottom="0.75" header="0.3" footer="0.3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75"/>
  <sheetViews>
    <sheetView topLeftCell="B1" zoomScaleNormal="100" zoomScaleSheetLayoutView="130" workbookViewId="0">
      <pane xSplit="1" ySplit="2" topLeftCell="C21" activePane="bottomRight" state="frozen"/>
      <selection activeCell="B1" sqref="B1"/>
      <selection pane="topRight" activeCell="C1" sqref="C1"/>
      <selection pane="bottomLeft" activeCell="B3" sqref="B3"/>
      <selection pane="bottomRight" activeCell="D44" sqref="D44"/>
    </sheetView>
  </sheetViews>
  <sheetFormatPr defaultColWidth="9.140625" defaultRowHeight="15"/>
  <cols>
    <col min="1" max="1" width="9.140625" style="4"/>
    <col min="2" max="2" width="42" style="3" customWidth="1"/>
    <col min="3" max="3" width="10.42578125" style="4" customWidth="1"/>
    <col min="4" max="4" width="10.7109375" style="4" customWidth="1"/>
    <col min="5" max="5" width="12.28515625" style="4" customWidth="1"/>
    <col min="6" max="6" width="12" style="3" customWidth="1"/>
    <col min="7" max="7" width="11.85546875" style="3" customWidth="1"/>
    <col min="8" max="9" width="11.42578125" style="3" customWidth="1"/>
    <col min="10" max="16384" width="9.140625" style="3"/>
  </cols>
  <sheetData>
    <row r="1" spans="1:9" ht="85.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2"/>
    </row>
    <row r="2" spans="1:9">
      <c r="A2" s="16" t="s">
        <v>545</v>
      </c>
      <c r="B2" s="16"/>
      <c r="C2" s="16"/>
      <c r="D2" s="16"/>
      <c r="E2" s="16"/>
      <c r="F2" s="16"/>
      <c r="G2" s="16"/>
      <c r="H2" s="16"/>
      <c r="I2" s="2"/>
    </row>
    <row r="3" spans="1:9">
      <c r="A3" s="5">
        <v>1</v>
      </c>
      <c r="B3" s="6" t="s">
        <v>546</v>
      </c>
      <c r="C3" s="5">
        <v>9.3800000000000008</v>
      </c>
      <c r="D3" s="5">
        <v>50</v>
      </c>
      <c r="E3" s="5">
        <v>10</v>
      </c>
      <c r="F3" s="7">
        <v>0.78402097085657707</v>
      </c>
      <c r="G3" s="6">
        <f>0.287+0.004675+0.004675+0.0013</f>
        <v>0.29764999999999997</v>
      </c>
      <c r="H3" s="9">
        <f>F3-G3</f>
        <v>0.4863709708565771</v>
      </c>
    </row>
    <row r="4" spans="1:9">
      <c r="A4" s="5">
        <v>2</v>
      </c>
      <c r="B4" s="6" t="s">
        <v>547</v>
      </c>
      <c r="C4" s="5">
        <v>14.42</v>
      </c>
      <c r="D4" s="5">
        <v>70</v>
      </c>
      <c r="E4" s="5">
        <v>10</v>
      </c>
      <c r="F4" s="7">
        <v>0.70249149298073565</v>
      </c>
      <c r="G4" s="6">
        <v>3.4000000000000002E-2</v>
      </c>
      <c r="H4" s="9">
        <f t="shared" ref="H4:H67" si="0">F4-G4</f>
        <v>0.66849149298073562</v>
      </c>
    </row>
    <row r="5" spans="1:9">
      <c r="A5" s="5">
        <v>3</v>
      </c>
      <c r="B5" s="6" t="s">
        <v>548</v>
      </c>
      <c r="C5" s="5">
        <v>12.414999999999999</v>
      </c>
      <c r="D5" s="5">
        <v>50</v>
      </c>
      <c r="E5" s="5">
        <v>10</v>
      </c>
      <c r="F5" s="7">
        <v>0.59235736662381755</v>
      </c>
      <c r="G5" s="9">
        <f>0.034+0.0096+0.004675</f>
        <v>4.8274999999999998E-2</v>
      </c>
      <c r="H5" s="9">
        <f t="shared" si="0"/>
        <v>0.54408236662381759</v>
      </c>
    </row>
    <row r="6" spans="1:9">
      <c r="A6" s="5">
        <v>4</v>
      </c>
      <c r="B6" s="6" t="s">
        <v>549</v>
      </c>
      <c r="C6" s="5">
        <v>15.89</v>
      </c>
      <c r="D6" s="5">
        <v>50</v>
      </c>
      <c r="E6" s="5">
        <v>10</v>
      </c>
      <c r="F6" s="7">
        <v>0.46281414138670185</v>
      </c>
      <c r="G6" s="6">
        <v>6.8000000000000005E-2</v>
      </c>
      <c r="H6" s="9">
        <f t="shared" si="0"/>
        <v>0.39481414138670184</v>
      </c>
    </row>
    <row r="7" spans="1:9">
      <c r="A7" s="5">
        <v>5</v>
      </c>
      <c r="B7" s="6" t="s">
        <v>1000</v>
      </c>
      <c r="C7" s="5">
        <v>6.65</v>
      </c>
      <c r="D7" s="5">
        <v>70</v>
      </c>
      <c r="E7" s="5">
        <v>6</v>
      </c>
      <c r="F7" s="7">
        <v>0.91397840560440957</v>
      </c>
      <c r="G7" s="6">
        <v>9.7000000000000003E-2</v>
      </c>
      <c r="H7" s="9">
        <f t="shared" si="0"/>
        <v>0.8169784056044096</v>
      </c>
    </row>
    <row r="8" spans="1:9">
      <c r="A8" s="5">
        <v>6</v>
      </c>
      <c r="B8" s="6" t="s">
        <v>550</v>
      </c>
      <c r="C8" s="5">
        <v>1.8</v>
      </c>
      <c r="D8" s="5">
        <v>50</v>
      </c>
      <c r="E8" s="5">
        <v>10</v>
      </c>
      <c r="F8" s="7">
        <v>3.3423600000000007</v>
      </c>
      <c r="G8" s="10">
        <f>0.052+0.009775+0.00235+0.0004</f>
        <v>6.4524999999999999E-2</v>
      </c>
      <c r="H8" s="9">
        <f t="shared" si="0"/>
        <v>3.2778350000000005</v>
      </c>
    </row>
    <row r="9" spans="1:9">
      <c r="A9" s="5">
        <v>7</v>
      </c>
      <c r="B9" s="6" t="s">
        <v>551</v>
      </c>
      <c r="C9" s="5">
        <v>21</v>
      </c>
      <c r="D9" s="5">
        <v>35</v>
      </c>
      <c r="E9" s="5">
        <v>10</v>
      </c>
      <c r="F9" s="7">
        <v>0.27156907890852849</v>
      </c>
      <c r="G9" s="10">
        <f>0.052+0.00235+0.0004</f>
        <v>5.4749999999999993E-2</v>
      </c>
      <c r="H9" s="9">
        <f t="shared" si="0"/>
        <v>0.2168190789085285</v>
      </c>
    </row>
    <row r="10" spans="1:9">
      <c r="A10" s="5">
        <v>8</v>
      </c>
      <c r="B10" s="6" t="s">
        <v>552</v>
      </c>
      <c r="C10" s="5">
        <v>13.425000000000001</v>
      </c>
      <c r="D10" s="5">
        <v>50</v>
      </c>
      <c r="E10" s="5">
        <v>10</v>
      </c>
      <c r="F10" s="7">
        <v>0.54779267833405543</v>
      </c>
      <c r="G10" s="6">
        <v>0</v>
      </c>
      <c r="H10" s="9">
        <f t="shared" si="0"/>
        <v>0.54779267833405543</v>
      </c>
    </row>
    <row r="11" spans="1:9">
      <c r="A11" s="5">
        <v>9</v>
      </c>
      <c r="B11" s="6" t="s">
        <v>553</v>
      </c>
      <c r="C11" s="5">
        <v>0.78</v>
      </c>
      <c r="D11" s="5">
        <v>35</v>
      </c>
      <c r="E11" s="5">
        <v>10</v>
      </c>
      <c r="F11" s="7">
        <v>2.7853000000000003</v>
      </c>
      <c r="G11" s="6">
        <v>1.7000000000000001E-2</v>
      </c>
      <c r="H11" s="9">
        <f t="shared" si="0"/>
        <v>2.7683000000000004</v>
      </c>
    </row>
    <row r="12" spans="1:9">
      <c r="A12" s="5">
        <v>10</v>
      </c>
      <c r="B12" s="6" t="s">
        <v>554</v>
      </c>
      <c r="C12" s="5">
        <v>4.9000000000000004</v>
      </c>
      <c r="D12" s="5">
        <v>70</v>
      </c>
      <c r="E12" s="5">
        <v>10</v>
      </c>
      <c r="F12" s="7">
        <v>2.0673321079147362</v>
      </c>
      <c r="G12" s="6">
        <f>0.418+0.0015</f>
        <v>0.41949999999999998</v>
      </c>
      <c r="H12" s="9">
        <f t="shared" si="0"/>
        <v>1.6478321079147362</v>
      </c>
    </row>
    <row r="13" spans="1:9">
      <c r="A13" s="5">
        <v>11</v>
      </c>
      <c r="B13" s="6" t="s">
        <v>555</v>
      </c>
      <c r="C13" s="5">
        <v>4.62</v>
      </c>
      <c r="D13" s="5">
        <v>70</v>
      </c>
      <c r="E13" s="5">
        <v>10</v>
      </c>
      <c r="F13" s="7">
        <v>2.1926249629398717</v>
      </c>
      <c r="G13" s="6">
        <v>3.3000000000000002E-2</v>
      </c>
      <c r="H13" s="9">
        <f t="shared" si="0"/>
        <v>2.1596249629398718</v>
      </c>
    </row>
    <row r="14" spans="1:9">
      <c r="A14" s="5">
        <v>12</v>
      </c>
      <c r="B14" s="6" t="s">
        <v>556</v>
      </c>
      <c r="C14" s="5">
        <v>4.62</v>
      </c>
      <c r="D14" s="5">
        <v>50</v>
      </c>
      <c r="E14" s="5">
        <v>10</v>
      </c>
      <c r="F14" s="7">
        <v>1.5918001529512324</v>
      </c>
      <c r="G14" s="10">
        <f>0.253+0.004675+0.0158+0.00493+0.0055</f>
        <v>0.28390499999999996</v>
      </c>
      <c r="H14" s="9">
        <f t="shared" si="0"/>
        <v>1.3078951529512324</v>
      </c>
    </row>
    <row r="15" spans="1:9">
      <c r="A15" s="5">
        <v>13</v>
      </c>
      <c r="B15" s="6" t="s">
        <v>557</v>
      </c>
      <c r="C15" s="5">
        <v>9.73</v>
      </c>
      <c r="D15" s="5">
        <v>50</v>
      </c>
      <c r="E15" s="5">
        <v>10</v>
      </c>
      <c r="F15" s="7">
        <v>0.75581877766029748</v>
      </c>
      <c r="G15" s="14">
        <f>0.017+0.00235</f>
        <v>1.9350000000000003E-2</v>
      </c>
      <c r="H15" s="9">
        <f t="shared" si="0"/>
        <v>0.7364687776602975</v>
      </c>
    </row>
    <row r="16" spans="1:9">
      <c r="A16" s="5">
        <v>14</v>
      </c>
      <c r="B16" s="6" t="s">
        <v>558</v>
      </c>
      <c r="C16" s="5">
        <v>3.1850000000000001</v>
      </c>
      <c r="D16" s="5">
        <v>50</v>
      </c>
      <c r="E16" s="5">
        <v>10</v>
      </c>
      <c r="F16" s="7">
        <v>2.3089848372479413</v>
      </c>
      <c r="G16" s="6">
        <v>3.4000000000000002E-2</v>
      </c>
      <c r="H16" s="9">
        <f t="shared" si="0"/>
        <v>2.2749848372479415</v>
      </c>
    </row>
    <row r="17" spans="1:8">
      <c r="A17" s="5">
        <v>15</v>
      </c>
      <c r="B17" s="6" t="s">
        <v>559</v>
      </c>
      <c r="C17" s="5">
        <v>14.56</v>
      </c>
      <c r="D17" s="5">
        <v>50</v>
      </c>
      <c r="E17" s="5">
        <v>10</v>
      </c>
      <c r="F17" s="7">
        <v>0.50509043314798718</v>
      </c>
      <c r="G17" s="6">
        <v>8.0000000000000002E-3</v>
      </c>
      <c r="H17" s="9">
        <f t="shared" si="0"/>
        <v>0.49709043314798718</v>
      </c>
    </row>
    <row r="18" spans="1:8">
      <c r="A18" s="5">
        <v>16</v>
      </c>
      <c r="B18" s="6" t="s">
        <v>560</v>
      </c>
      <c r="C18" s="5">
        <v>3.43</v>
      </c>
      <c r="D18" s="5">
        <v>50</v>
      </c>
      <c r="E18" s="5">
        <v>10</v>
      </c>
      <c r="F18" s="7">
        <v>2.1440573488730883</v>
      </c>
      <c r="G18" s="6">
        <v>2.8000000000000001E-2</v>
      </c>
      <c r="H18" s="9">
        <f t="shared" si="0"/>
        <v>2.1160573488730883</v>
      </c>
    </row>
    <row r="19" spans="1:8">
      <c r="A19" s="5">
        <v>17</v>
      </c>
      <c r="B19" s="6" t="s">
        <v>561</v>
      </c>
      <c r="C19" s="5">
        <v>6.5000000000000002E-2</v>
      </c>
      <c r="D19" s="5">
        <v>50</v>
      </c>
      <c r="E19" s="5">
        <v>10</v>
      </c>
      <c r="F19" s="7">
        <v>3.3423600000000007</v>
      </c>
      <c r="G19" s="6">
        <v>5.2999999999999999E-2</v>
      </c>
      <c r="H19" s="9">
        <f t="shared" si="0"/>
        <v>3.2893600000000007</v>
      </c>
    </row>
    <row r="20" spans="1:8">
      <c r="A20" s="5">
        <v>18</v>
      </c>
      <c r="B20" s="6" t="s">
        <v>562</v>
      </c>
      <c r="C20" s="5">
        <v>3.835</v>
      </c>
      <c r="D20" s="5">
        <v>35</v>
      </c>
      <c r="E20" s="5">
        <v>10</v>
      </c>
      <c r="F20" s="7">
        <v>1.4870797019762967</v>
      </c>
      <c r="G20" s="6">
        <f>0.102+0.0006</f>
        <v>0.1026</v>
      </c>
      <c r="H20" s="9">
        <f t="shared" si="0"/>
        <v>1.3844797019762967</v>
      </c>
    </row>
    <row r="21" spans="1:8">
      <c r="A21" s="5">
        <v>19</v>
      </c>
      <c r="B21" s="6" t="s">
        <v>563</v>
      </c>
      <c r="C21" s="5">
        <v>17.648</v>
      </c>
      <c r="D21" s="5">
        <v>50</v>
      </c>
      <c r="E21" s="5">
        <v>10</v>
      </c>
      <c r="F21" s="7">
        <v>0.41671105545300852</v>
      </c>
      <c r="G21" s="6">
        <f>0.368+0.0105+0.00722</f>
        <v>0.38572000000000001</v>
      </c>
      <c r="H21" s="9">
        <f t="shared" si="0"/>
        <v>3.0991055453008509E-2</v>
      </c>
    </row>
    <row r="22" spans="1:8">
      <c r="A22" s="5">
        <v>20</v>
      </c>
      <c r="B22" s="6" t="s">
        <v>564</v>
      </c>
      <c r="C22" s="5">
        <v>8.41</v>
      </c>
      <c r="D22" s="5">
        <v>50</v>
      </c>
      <c r="E22" s="5">
        <v>10</v>
      </c>
      <c r="F22" s="7">
        <v>0.87444907332160449</v>
      </c>
      <c r="G22" s="10">
        <f>0.136+0.01578+0.004675+0.00475</f>
        <v>0.16120500000000001</v>
      </c>
      <c r="H22" s="9">
        <f t="shared" si="0"/>
        <v>0.71324407332160444</v>
      </c>
    </row>
    <row r="23" spans="1:8">
      <c r="A23" s="5">
        <v>21</v>
      </c>
      <c r="B23" s="6" t="s">
        <v>565</v>
      </c>
      <c r="C23" s="5">
        <v>17.760000000000002</v>
      </c>
      <c r="D23" s="5">
        <v>70</v>
      </c>
      <c r="E23" s="5">
        <v>10</v>
      </c>
      <c r="F23" s="7">
        <v>0.57037879103503419</v>
      </c>
      <c r="G23" s="6">
        <f>0.169+0.04355+0.0013+0.0037+0.00425+0.0034</f>
        <v>0.22520000000000001</v>
      </c>
      <c r="H23" s="9">
        <f t="shared" si="0"/>
        <v>0.34517879103503418</v>
      </c>
    </row>
    <row r="24" spans="1:8">
      <c r="A24" s="5">
        <v>22</v>
      </c>
      <c r="B24" s="6" t="s">
        <v>566</v>
      </c>
      <c r="C24" s="5">
        <v>30.92</v>
      </c>
      <c r="D24" s="5">
        <v>70</v>
      </c>
      <c r="E24" s="5">
        <v>10</v>
      </c>
      <c r="F24" s="7">
        <v>0.32761731335000666</v>
      </c>
      <c r="G24" s="14">
        <f>0.304+0.19937</f>
        <v>0.50336999999999998</v>
      </c>
      <c r="H24" s="9">
        <f t="shared" si="0"/>
        <v>-0.17575268664999333</v>
      </c>
    </row>
    <row r="25" spans="1:8">
      <c r="A25" s="5">
        <v>23</v>
      </c>
      <c r="B25" s="6" t="s">
        <v>567</v>
      </c>
      <c r="C25" s="5">
        <v>3.01</v>
      </c>
      <c r="D25" s="5">
        <v>50</v>
      </c>
      <c r="E25" s="5">
        <v>10</v>
      </c>
      <c r="F25" s="7">
        <v>2.4432281417391013</v>
      </c>
      <c r="G25" s="10">
        <f>0.255+0.00765+0.0052+0.00425+0.005+0.0047</f>
        <v>0.28179999999999994</v>
      </c>
      <c r="H25" s="9">
        <f t="shared" si="0"/>
        <v>2.1614281417391012</v>
      </c>
    </row>
    <row r="26" spans="1:8">
      <c r="A26" s="5">
        <v>24</v>
      </c>
      <c r="B26" s="6" t="s">
        <v>568</v>
      </c>
      <c r="C26" s="5">
        <v>8.1999999999999993</v>
      </c>
      <c r="D26" s="5">
        <v>50</v>
      </c>
      <c r="E26" s="5">
        <v>10</v>
      </c>
      <c r="F26" s="7">
        <v>0.89684350080910902</v>
      </c>
      <c r="G26" s="6">
        <f>0.034+0.00468</f>
        <v>3.8680000000000006E-2</v>
      </c>
      <c r="H26" s="9">
        <f t="shared" si="0"/>
        <v>0.85816350080910897</v>
      </c>
    </row>
    <row r="27" spans="1:8">
      <c r="A27" s="5">
        <v>25</v>
      </c>
      <c r="B27" s="6" t="s">
        <v>569</v>
      </c>
      <c r="C27" s="5">
        <v>0.98</v>
      </c>
      <c r="D27" s="5">
        <v>50</v>
      </c>
      <c r="E27" s="5">
        <v>10</v>
      </c>
      <c r="F27" s="7">
        <v>3.3423600000000007</v>
      </c>
      <c r="G27" s="6">
        <v>1.7000000000000001E-2</v>
      </c>
      <c r="H27" s="9">
        <f t="shared" si="0"/>
        <v>3.3253600000000008</v>
      </c>
    </row>
    <row r="28" spans="1:8">
      <c r="A28" s="5">
        <v>26</v>
      </c>
      <c r="B28" s="6" t="s">
        <v>570</v>
      </c>
      <c r="C28" s="5">
        <v>1.8</v>
      </c>
      <c r="D28" s="5">
        <v>50</v>
      </c>
      <c r="E28" s="5">
        <v>10</v>
      </c>
      <c r="F28" s="7">
        <v>3.3423600000000007</v>
      </c>
      <c r="G28" s="10">
        <f>0.236+0.00493+0.00105+0.00476+0.0075+0.0094+0.00467+0.00235+0.0048</f>
        <v>0.27546000000000004</v>
      </c>
      <c r="H28" s="9">
        <f t="shared" si="0"/>
        <v>3.0669000000000004</v>
      </c>
    </row>
    <row r="29" spans="1:8">
      <c r="A29" s="5">
        <v>27</v>
      </c>
      <c r="B29" s="6" t="s">
        <v>571</v>
      </c>
      <c r="C29" s="5">
        <v>0.7</v>
      </c>
      <c r="D29" s="5">
        <v>50</v>
      </c>
      <c r="E29" s="5">
        <v>10</v>
      </c>
      <c r="F29" s="7">
        <v>3.3423600000000007</v>
      </c>
      <c r="G29" s="10">
        <f>0.051+0.00235+0.0048</f>
        <v>5.8149999999999993E-2</v>
      </c>
      <c r="H29" s="9">
        <f t="shared" si="0"/>
        <v>3.2842100000000007</v>
      </c>
    </row>
    <row r="30" spans="1:8">
      <c r="A30" s="5">
        <v>28</v>
      </c>
      <c r="B30" s="6" t="s">
        <v>572</v>
      </c>
      <c r="C30" s="5">
        <v>1.25</v>
      </c>
      <c r="D30" s="5">
        <v>50</v>
      </c>
      <c r="E30" s="5">
        <v>10</v>
      </c>
      <c r="F30" s="7">
        <v>3.3423600000000007</v>
      </c>
      <c r="G30" s="6">
        <v>1.7000000000000001E-2</v>
      </c>
      <c r="H30" s="9">
        <f t="shared" si="0"/>
        <v>3.3253600000000008</v>
      </c>
    </row>
    <row r="31" spans="1:8">
      <c r="A31" s="5">
        <v>29</v>
      </c>
      <c r="B31" s="6" t="s">
        <v>573</v>
      </c>
      <c r="C31" s="5">
        <v>2.7</v>
      </c>
      <c r="D31" s="5">
        <v>70</v>
      </c>
      <c r="E31" s="5">
        <v>10</v>
      </c>
      <c r="F31" s="7">
        <v>3.751824936586003</v>
      </c>
      <c r="G31" s="6">
        <v>5.0999999999999997E-2</v>
      </c>
      <c r="H31" s="9">
        <f t="shared" si="0"/>
        <v>3.7008249365860029</v>
      </c>
    </row>
    <row r="32" spans="1:8">
      <c r="A32" s="5">
        <v>30</v>
      </c>
      <c r="B32" s="6" t="s">
        <v>574</v>
      </c>
      <c r="C32" s="5">
        <v>3.67</v>
      </c>
      <c r="D32" s="5">
        <v>50</v>
      </c>
      <c r="E32" s="5">
        <v>10</v>
      </c>
      <c r="F32" s="7">
        <v>2.0038465140693984</v>
      </c>
      <c r="G32" s="6">
        <v>0.75900000000000001</v>
      </c>
      <c r="H32" s="9">
        <f t="shared" si="0"/>
        <v>1.2448465140693985</v>
      </c>
    </row>
    <row r="33" spans="1:8">
      <c r="A33" s="5">
        <v>31</v>
      </c>
      <c r="B33" s="6" t="s">
        <v>575</v>
      </c>
      <c r="C33" s="5">
        <v>2.1</v>
      </c>
      <c r="D33" s="5">
        <v>50</v>
      </c>
      <c r="E33" s="5">
        <v>10</v>
      </c>
      <c r="F33" s="7">
        <v>3.3423600000000007</v>
      </c>
      <c r="G33" s="6">
        <f>0.371+0.0018</f>
        <v>0.37280000000000002</v>
      </c>
      <c r="H33" s="9">
        <f t="shared" si="0"/>
        <v>2.9695600000000004</v>
      </c>
    </row>
    <row r="34" spans="1:8">
      <c r="A34" s="5">
        <v>32</v>
      </c>
      <c r="B34" s="6" t="s">
        <v>576</v>
      </c>
      <c r="C34" s="5">
        <v>6.7</v>
      </c>
      <c r="D34" s="5">
        <v>50</v>
      </c>
      <c r="E34" s="5">
        <v>10</v>
      </c>
      <c r="F34" s="7">
        <v>1.0976293591992081</v>
      </c>
      <c r="G34" s="6">
        <v>3.4000000000000002E-2</v>
      </c>
      <c r="H34" s="9">
        <f t="shared" si="0"/>
        <v>1.0636293591992081</v>
      </c>
    </row>
    <row r="35" spans="1:8">
      <c r="A35" s="5">
        <v>33</v>
      </c>
      <c r="B35" s="6" t="s">
        <v>577</v>
      </c>
      <c r="C35" s="5">
        <v>2.0299999999999998</v>
      </c>
      <c r="D35" s="5">
        <v>50</v>
      </c>
      <c r="E35" s="5">
        <v>10</v>
      </c>
      <c r="F35" s="7">
        <v>3.3423600000000007</v>
      </c>
      <c r="G35" s="6">
        <v>0.05</v>
      </c>
      <c r="H35" s="9">
        <f t="shared" si="0"/>
        <v>3.2923600000000008</v>
      </c>
    </row>
    <row r="36" spans="1:8">
      <c r="A36" s="5">
        <v>34</v>
      </c>
      <c r="B36" s="6" t="s">
        <v>578</v>
      </c>
      <c r="C36" s="5">
        <v>9.77</v>
      </c>
      <c r="D36" s="5">
        <v>70</v>
      </c>
      <c r="E36" s="5">
        <v>10</v>
      </c>
      <c r="F36" s="7">
        <v>1.0368400541230509</v>
      </c>
      <c r="G36" s="10">
        <f>0.928+0.065025+0.272</f>
        <v>1.2650250000000001</v>
      </c>
      <c r="H36" s="9">
        <f t="shared" si="0"/>
        <v>-0.22818494587694915</v>
      </c>
    </row>
    <row r="37" spans="1:8">
      <c r="A37" s="5">
        <v>35</v>
      </c>
      <c r="B37" s="6" t="s">
        <v>579</v>
      </c>
      <c r="C37" s="5">
        <v>0.15</v>
      </c>
      <c r="D37" s="5">
        <v>35</v>
      </c>
      <c r="E37" s="5">
        <v>10</v>
      </c>
      <c r="F37" s="7">
        <v>2.7853000000000003</v>
      </c>
      <c r="G37" s="6">
        <v>8.4000000000000005E-2</v>
      </c>
      <c r="H37" s="9">
        <f t="shared" si="0"/>
        <v>2.7013000000000003</v>
      </c>
    </row>
    <row r="38" spans="1:8">
      <c r="A38" s="5">
        <v>36</v>
      </c>
      <c r="B38" s="6" t="s">
        <v>580</v>
      </c>
      <c r="C38" s="5">
        <v>3.2</v>
      </c>
      <c r="D38" s="5">
        <v>50</v>
      </c>
      <c r="E38" s="5">
        <v>10</v>
      </c>
      <c r="F38" s="7">
        <v>2.2981614708233415</v>
      </c>
      <c r="G38" s="10">
        <f>0.135+0.06337+0.00731</f>
        <v>0.20568</v>
      </c>
      <c r="H38" s="9">
        <f t="shared" si="0"/>
        <v>2.0924814708233415</v>
      </c>
    </row>
    <row r="39" spans="1:8">
      <c r="A39" s="5">
        <v>37</v>
      </c>
      <c r="B39" s="6" t="s">
        <v>581</v>
      </c>
      <c r="C39" s="5">
        <v>3.5</v>
      </c>
      <c r="D39" s="5">
        <v>50</v>
      </c>
      <c r="E39" s="5">
        <v>10</v>
      </c>
      <c r="F39" s="7">
        <v>2.101176201895627</v>
      </c>
      <c r="G39" s="6">
        <f>0.05+0.2644</f>
        <v>0.31440000000000001</v>
      </c>
      <c r="H39" s="9">
        <f t="shared" si="0"/>
        <v>1.786776201895627</v>
      </c>
    </row>
    <row r="40" spans="1:8">
      <c r="A40" s="5">
        <v>38</v>
      </c>
      <c r="B40" s="6" t="s">
        <v>582</v>
      </c>
      <c r="C40" s="5">
        <v>3.24</v>
      </c>
      <c r="D40" s="5">
        <v>50</v>
      </c>
      <c r="E40" s="5">
        <v>10</v>
      </c>
      <c r="F40" s="7">
        <v>2.2697891069860168</v>
      </c>
      <c r="G40" s="6">
        <v>2E-3</v>
      </c>
      <c r="H40" s="9">
        <f t="shared" si="0"/>
        <v>2.267789106986017</v>
      </c>
    </row>
    <row r="41" spans="1:8">
      <c r="A41" s="5">
        <v>39</v>
      </c>
      <c r="B41" s="6" t="s">
        <v>583</v>
      </c>
      <c r="C41" s="5">
        <v>3.4</v>
      </c>
      <c r="D41" s="5">
        <v>35</v>
      </c>
      <c r="E41" s="5">
        <v>10</v>
      </c>
      <c r="F41" s="7">
        <v>1.677338428552676</v>
      </c>
      <c r="G41" s="10">
        <f>0.485+0.00514+0.00493+0.0051+0.00235+0.009775+0.009775+0.012908+0.009775+0.00425+0.00595</f>
        <v>0.55495299999999992</v>
      </c>
      <c r="H41" s="9">
        <f t="shared" si="0"/>
        <v>1.122385428552676</v>
      </c>
    </row>
    <row r="42" spans="1:8">
      <c r="A42" s="5">
        <v>40</v>
      </c>
      <c r="B42" s="6" t="s">
        <v>584</v>
      </c>
      <c r="C42" s="5">
        <v>1.5</v>
      </c>
      <c r="D42" s="5">
        <v>50</v>
      </c>
      <c r="E42" s="5">
        <v>10</v>
      </c>
      <c r="F42" s="7">
        <v>3.3423600000000007</v>
      </c>
      <c r="G42" s="6">
        <v>6.7000000000000004E-2</v>
      </c>
      <c r="H42" s="9">
        <f t="shared" si="0"/>
        <v>3.2753600000000005</v>
      </c>
    </row>
    <row r="43" spans="1:8">
      <c r="A43" s="5">
        <v>41</v>
      </c>
      <c r="B43" s="6" t="s">
        <v>585</v>
      </c>
      <c r="C43" s="5">
        <v>0.6</v>
      </c>
      <c r="D43" s="5">
        <v>50</v>
      </c>
      <c r="E43" s="5">
        <v>10</v>
      </c>
      <c r="F43" s="7">
        <v>3.3423600000000007</v>
      </c>
      <c r="G43" s="10">
        <f>0.017+0.01592</f>
        <v>3.2920000000000005E-2</v>
      </c>
      <c r="H43" s="9">
        <f t="shared" si="0"/>
        <v>3.3094400000000008</v>
      </c>
    </row>
    <row r="44" spans="1:8">
      <c r="A44" s="5">
        <v>42</v>
      </c>
      <c r="B44" s="6" t="s">
        <v>586</v>
      </c>
      <c r="C44" s="5">
        <v>1.23</v>
      </c>
      <c r="D44" s="5">
        <v>50</v>
      </c>
      <c r="E44" s="5">
        <v>10</v>
      </c>
      <c r="F44" s="7">
        <v>3.3423600000000007</v>
      </c>
      <c r="G44" s="10">
        <f>0.267+0.009775+0.0085+0.01487+0.00485+0.05185+0.00808</f>
        <v>0.364925</v>
      </c>
      <c r="H44" s="9">
        <f t="shared" si="0"/>
        <v>2.9774350000000007</v>
      </c>
    </row>
    <row r="45" spans="1:8">
      <c r="A45" s="5">
        <v>43</v>
      </c>
      <c r="B45" s="6" t="s">
        <v>587</v>
      </c>
      <c r="C45" s="5">
        <v>8.17</v>
      </c>
      <c r="D45" s="5">
        <v>70</v>
      </c>
      <c r="E45" s="5">
        <v>10</v>
      </c>
      <c r="F45" s="7">
        <v>1.2398931858974549</v>
      </c>
      <c r="G45" s="10">
        <f>0.752+0.0051+0.00561+0.007+0.00918+0.0047+0.00493+0.0061+0.0049+0.00391+0.00978+0.00867+0.0047+0.00637+0.0071+0.00476+0.0049+0.0068+0.00646+0.00654+0.00485+0.009775+0.004845</f>
        <v>0.88897999999999999</v>
      </c>
      <c r="H45" s="9">
        <f t="shared" si="0"/>
        <v>0.3509131858974549</v>
      </c>
    </row>
    <row r="46" spans="1:8">
      <c r="A46" s="5">
        <v>44</v>
      </c>
      <c r="B46" s="6" t="s">
        <v>588</v>
      </c>
      <c r="C46" s="5">
        <v>8</v>
      </c>
      <c r="D46" s="5">
        <v>35</v>
      </c>
      <c r="E46" s="5">
        <v>10</v>
      </c>
      <c r="F46" s="7">
        <v>0.71286883213488728</v>
      </c>
      <c r="G46" s="10">
        <f>0.084+0.0047+0.0105</f>
        <v>9.9199999999999997E-2</v>
      </c>
      <c r="H46" s="9">
        <f t="shared" si="0"/>
        <v>0.61366883213488732</v>
      </c>
    </row>
    <row r="47" spans="1:8">
      <c r="A47" s="5">
        <v>45</v>
      </c>
      <c r="B47" s="6" t="s">
        <v>589</v>
      </c>
      <c r="C47" s="5">
        <v>2.6</v>
      </c>
      <c r="D47" s="5">
        <v>70</v>
      </c>
      <c r="E47" s="5">
        <v>10</v>
      </c>
      <c r="F47" s="7">
        <v>3.8961258956854645</v>
      </c>
      <c r="G47" s="6">
        <f>0.084+0.038</f>
        <v>0.122</v>
      </c>
      <c r="H47" s="9">
        <f t="shared" si="0"/>
        <v>3.7741258956854646</v>
      </c>
    </row>
    <row r="48" spans="1:8">
      <c r="A48" s="5">
        <v>46</v>
      </c>
      <c r="B48" s="6" t="s">
        <v>590</v>
      </c>
      <c r="C48" s="5">
        <v>4.2</v>
      </c>
      <c r="D48" s="5">
        <v>70</v>
      </c>
      <c r="E48" s="5">
        <v>10</v>
      </c>
      <c r="F48" s="7">
        <v>2.4118874592338591</v>
      </c>
      <c r="G48" s="9">
        <f>1.417+0.004675+0.0289+0.1691</f>
        <v>1.619675</v>
      </c>
      <c r="H48" s="9">
        <f t="shared" si="0"/>
        <v>0.79221245923385908</v>
      </c>
    </row>
    <row r="49" spans="1:8">
      <c r="A49" s="5">
        <v>47</v>
      </c>
      <c r="B49" s="6" t="s">
        <v>591</v>
      </c>
      <c r="C49" s="5">
        <v>3.2</v>
      </c>
      <c r="D49" s="5">
        <v>50</v>
      </c>
      <c r="E49" s="5">
        <v>10</v>
      </c>
      <c r="F49" s="7">
        <v>2.2981614708233415</v>
      </c>
      <c r="G49" s="13">
        <f>0.337+0.0207+0.009+0.01264+0.0485</f>
        <v>0.42784</v>
      </c>
      <c r="H49" s="9">
        <f t="shared" si="0"/>
        <v>1.8703214708233415</v>
      </c>
    </row>
    <row r="50" spans="1:8">
      <c r="A50" s="5">
        <v>48</v>
      </c>
      <c r="B50" s="6" t="s">
        <v>592</v>
      </c>
      <c r="C50" s="5">
        <v>11.2</v>
      </c>
      <c r="D50" s="5">
        <v>35</v>
      </c>
      <c r="E50" s="5">
        <v>10</v>
      </c>
      <c r="F50" s="7">
        <v>0.50919202295349086</v>
      </c>
      <c r="G50" s="10">
        <f>1.158+0.008+0.00984+0.07766+0.02364+0.004675+0.004675+0.0051+0.0089+0.00493+0.0306+0.004+0.0144+0.0047+0.0066+0.0097+0.009775+0.02778+0.0166+0.0094+0.01411</f>
        <v>1.4530850000000002</v>
      </c>
      <c r="H50" s="9">
        <f t="shared" si="0"/>
        <v>-0.94389297704650932</v>
      </c>
    </row>
    <row r="51" spans="1:8">
      <c r="A51" s="5">
        <v>49</v>
      </c>
      <c r="B51" s="6" t="s">
        <v>593</v>
      </c>
      <c r="C51" s="5">
        <v>1.75</v>
      </c>
      <c r="D51" s="5">
        <v>50</v>
      </c>
      <c r="E51" s="5">
        <v>10</v>
      </c>
      <c r="F51" s="7">
        <v>3.3423600000000007</v>
      </c>
      <c r="G51" s="10">
        <f>0.358+0.0048+0.0048</f>
        <v>0.36760000000000004</v>
      </c>
      <c r="H51" s="9">
        <f t="shared" si="0"/>
        <v>2.9747600000000007</v>
      </c>
    </row>
    <row r="52" spans="1:8">
      <c r="A52" s="5">
        <v>50</v>
      </c>
      <c r="B52" s="6" t="s">
        <v>594</v>
      </c>
      <c r="C52" s="5">
        <v>8.4700000000000006</v>
      </c>
      <c r="D52" s="5">
        <v>70</v>
      </c>
      <c r="E52" s="5">
        <v>10</v>
      </c>
      <c r="F52" s="7">
        <v>1.1959772525126573</v>
      </c>
      <c r="G52" s="10">
        <f>0.954+0.00935+0.00493+0.004675+0.00468</f>
        <v>0.97763499999999992</v>
      </c>
      <c r="H52" s="9">
        <f t="shared" si="0"/>
        <v>0.21834225251265738</v>
      </c>
    </row>
    <row r="53" spans="1:8">
      <c r="A53" s="5">
        <v>51</v>
      </c>
      <c r="B53" s="6" t="s">
        <v>595</v>
      </c>
      <c r="C53" s="5">
        <v>6</v>
      </c>
      <c r="D53" s="5">
        <v>50</v>
      </c>
      <c r="E53" s="5">
        <v>10</v>
      </c>
      <c r="F53" s="7">
        <v>1.225686117772449</v>
      </c>
      <c r="G53" s="10">
        <f>0.852+0.009775+0.0082+0.0122+0.003</f>
        <v>0.88517499999999993</v>
      </c>
      <c r="H53" s="9">
        <f t="shared" si="0"/>
        <v>0.34051111777244902</v>
      </c>
    </row>
    <row r="54" spans="1:8">
      <c r="A54" s="5">
        <v>52</v>
      </c>
      <c r="B54" s="6" t="s">
        <v>596</v>
      </c>
      <c r="C54" s="5">
        <v>6.22</v>
      </c>
      <c r="D54" s="5">
        <v>50</v>
      </c>
      <c r="E54" s="5">
        <v>10</v>
      </c>
      <c r="F54" s="7">
        <v>1.1823338756647417</v>
      </c>
      <c r="G54" s="10">
        <f>1.226+0.005+0.0047+0.004+0.04675+0.0443+0.0081+0.023647+0.0052+0.0088+0.0051</f>
        <v>1.381597</v>
      </c>
      <c r="H54" s="9">
        <f t="shared" si="0"/>
        <v>-0.19926312433525828</v>
      </c>
    </row>
    <row r="55" spans="1:8">
      <c r="A55" s="5">
        <v>53</v>
      </c>
      <c r="B55" s="6" t="s">
        <v>597</v>
      </c>
      <c r="C55" s="5">
        <v>29.39</v>
      </c>
      <c r="D55" s="5">
        <v>50</v>
      </c>
      <c r="E55" s="5">
        <v>10</v>
      </c>
      <c r="F55" s="7">
        <v>0.25022513462520218</v>
      </c>
      <c r="G55" s="6">
        <f>0.954+0.004+0.0047</f>
        <v>0.9627</v>
      </c>
      <c r="H55" s="9">
        <f t="shared" si="0"/>
        <v>-0.71247486537479787</v>
      </c>
    </row>
    <row r="56" spans="1:8">
      <c r="A56" s="5">
        <v>54</v>
      </c>
      <c r="B56" s="6" t="s">
        <v>598</v>
      </c>
      <c r="C56" s="5">
        <v>1.72</v>
      </c>
      <c r="D56" s="5">
        <v>50</v>
      </c>
      <c r="E56" s="5">
        <v>10</v>
      </c>
      <c r="F56" s="7">
        <v>3.3423600000000007</v>
      </c>
      <c r="G56" s="6">
        <f>0.132+0.0051</f>
        <v>0.1371</v>
      </c>
      <c r="H56" s="9">
        <f t="shared" si="0"/>
        <v>3.2052600000000009</v>
      </c>
    </row>
    <row r="57" spans="1:8">
      <c r="A57" s="5">
        <v>55</v>
      </c>
      <c r="B57" s="6" t="s">
        <v>599</v>
      </c>
      <c r="C57" s="5">
        <v>4.95</v>
      </c>
      <c r="D57" s="5">
        <v>50</v>
      </c>
      <c r="E57" s="5">
        <v>10</v>
      </c>
      <c r="F57" s="7">
        <v>1.4856801427544835</v>
      </c>
      <c r="G57" s="10">
        <f>0.248+0.0049+0.0052+0.0056</f>
        <v>0.26369999999999999</v>
      </c>
      <c r="H57" s="9">
        <f t="shared" si="0"/>
        <v>1.2219801427544834</v>
      </c>
    </row>
    <row r="58" spans="1:8">
      <c r="A58" s="5">
        <v>56</v>
      </c>
      <c r="B58" s="6" t="s">
        <v>600</v>
      </c>
      <c r="C58" s="5">
        <v>9.4499999999999993</v>
      </c>
      <c r="D58" s="5">
        <v>50</v>
      </c>
      <c r="E58" s="5">
        <v>10</v>
      </c>
      <c r="F58" s="7">
        <v>0.77821340810949136</v>
      </c>
      <c r="G58" s="6">
        <v>3.3000000000000002E-2</v>
      </c>
      <c r="H58" s="9">
        <f t="shared" si="0"/>
        <v>0.74521340810949133</v>
      </c>
    </row>
    <row r="59" spans="1:8">
      <c r="A59" s="5">
        <v>57</v>
      </c>
      <c r="B59" s="6" t="s">
        <v>601</v>
      </c>
      <c r="C59" s="5">
        <v>8.2200000000000006</v>
      </c>
      <c r="D59" s="5">
        <v>50</v>
      </c>
      <c r="E59" s="5">
        <v>10</v>
      </c>
      <c r="F59" s="7">
        <v>0.89466139983390425</v>
      </c>
      <c r="G59" s="6">
        <f>0.132+0.1904+0.0048+0.0047</f>
        <v>0.33190000000000003</v>
      </c>
      <c r="H59" s="9">
        <f t="shared" si="0"/>
        <v>0.56276139983390427</v>
      </c>
    </row>
    <row r="60" spans="1:8">
      <c r="A60" s="5">
        <v>58</v>
      </c>
      <c r="B60" s="6" t="s">
        <v>602</v>
      </c>
      <c r="C60" s="5">
        <v>19.07</v>
      </c>
      <c r="D60" s="5">
        <v>50</v>
      </c>
      <c r="E60" s="5">
        <v>10</v>
      </c>
      <c r="F60" s="7">
        <v>0.38563800244544805</v>
      </c>
      <c r="G60" s="10">
        <f>0.05+0.00235</f>
        <v>5.2350000000000001E-2</v>
      </c>
      <c r="H60" s="9">
        <f t="shared" si="0"/>
        <v>0.33328800244544804</v>
      </c>
    </row>
    <row r="61" spans="1:8">
      <c r="A61" s="5">
        <v>59</v>
      </c>
      <c r="B61" s="6" t="s">
        <v>603</v>
      </c>
      <c r="C61" s="5">
        <v>4.04</v>
      </c>
      <c r="D61" s="5">
        <v>50</v>
      </c>
      <c r="E61" s="5">
        <v>10</v>
      </c>
      <c r="F61" s="7">
        <v>1.8203259174838351</v>
      </c>
      <c r="G61" s="6">
        <v>8.3000000000000004E-2</v>
      </c>
      <c r="H61" s="9">
        <f t="shared" si="0"/>
        <v>1.7373259174838351</v>
      </c>
    </row>
    <row r="62" spans="1:8">
      <c r="A62" s="5">
        <v>60</v>
      </c>
      <c r="B62" s="6" t="s">
        <v>604</v>
      </c>
      <c r="C62" s="5">
        <v>7.14</v>
      </c>
      <c r="D62" s="5">
        <v>50</v>
      </c>
      <c r="E62" s="5">
        <v>10</v>
      </c>
      <c r="F62" s="7">
        <v>1.0299883342625622</v>
      </c>
      <c r="G62" s="10">
        <f>0.169+0.0065+0.004675+0.00172+0.0068+0.00476+0.00935+0.004+0.009775+0.004675+0.005+0.005+0.005+0.005+0.005</f>
        <v>0.24625500000000008</v>
      </c>
      <c r="H62" s="9">
        <f t="shared" si="0"/>
        <v>0.78373333426256209</v>
      </c>
    </row>
    <row r="63" spans="1:8">
      <c r="A63" s="5">
        <v>61</v>
      </c>
      <c r="B63" s="6" t="s">
        <v>605</v>
      </c>
      <c r="C63" s="5">
        <v>1.68</v>
      </c>
      <c r="D63" s="5">
        <v>50</v>
      </c>
      <c r="E63" s="5">
        <v>10</v>
      </c>
      <c r="F63" s="7">
        <v>3.3423600000000007</v>
      </c>
      <c r="G63" s="6"/>
      <c r="H63" s="9">
        <f t="shared" si="0"/>
        <v>3.3423600000000007</v>
      </c>
    </row>
    <row r="64" spans="1:8">
      <c r="A64" s="5">
        <v>62</v>
      </c>
      <c r="B64" s="6" t="s">
        <v>606</v>
      </c>
      <c r="C64" s="5">
        <v>1.68</v>
      </c>
      <c r="D64" s="5">
        <v>50</v>
      </c>
      <c r="E64" s="5">
        <v>10</v>
      </c>
      <c r="F64" s="7">
        <v>3.3423600000000007</v>
      </c>
      <c r="G64" s="6">
        <v>1.7000000000000001E-2</v>
      </c>
      <c r="H64" s="9">
        <f t="shared" si="0"/>
        <v>3.3253600000000008</v>
      </c>
    </row>
    <row r="65" spans="1:8">
      <c r="A65" s="5">
        <v>63</v>
      </c>
      <c r="B65" s="6" t="s">
        <v>563</v>
      </c>
      <c r="C65" s="5">
        <v>13.455</v>
      </c>
      <c r="D65" s="5">
        <v>50</v>
      </c>
      <c r="E65" s="5">
        <v>10</v>
      </c>
      <c r="F65" s="7">
        <v>0.54657128997656579</v>
      </c>
      <c r="G65" s="6">
        <f>0.368+0.00235+0.0105</f>
        <v>0.38085000000000002</v>
      </c>
      <c r="H65" s="9">
        <f t="shared" si="0"/>
        <v>0.16572128997656577</v>
      </c>
    </row>
    <row r="66" spans="1:8">
      <c r="A66" s="5">
        <v>64</v>
      </c>
      <c r="B66" s="6" t="s">
        <v>607</v>
      </c>
      <c r="C66" s="5">
        <v>7.8</v>
      </c>
      <c r="D66" s="5">
        <v>50</v>
      </c>
      <c r="E66" s="5">
        <v>10</v>
      </c>
      <c r="F66" s="7">
        <v>0.94283547520957622</v>
      </c>
      <c r="G66" s="6">
        <f>0.002+0.0048</f>
        <v>6.7999999999999996E-3</v>
      </c>
      <c r="H66" s="9">
        <f t="shared" si="0"/>
        <v>0.9360354752095762</v>
      </c>
    </row>
    <row r="67" spans="1:8">
      <c r="A67" s="5">
        <v>65</v>
      </c>
      <c r="B67" s="6" t="s">
        <v>608</v>
      </c>
      <c r="C67" s="5">
        <v>9.6</v>
      </c>
      <c r="D67" s="5">
        <v>50</v>
      </c>
      <c r="E67" s="5">
        <v>10</v>
      </c>
      <c r="F67" s="7">
        <v>0.76605382360778063</v>
      </c>
      <c r="G67" s="10">
        <f>0.19+0.0084+0.004675+0.009775+0.005+0.0047</f>
        <v>0.22255000000000003</v>
      </c>
      <c r="H67" s="9">
        <f t="shared" si="0"/>
        <v>0.5435038236077806</v>
      </c>
    </row>
    <row r="68" spans="1:8">
      <c r="A68" s="5">
        <v>66</v>
      </c>
      <c r="B68" s="6" t="s">
        <v>609</v>
      </c>
      <c r="C68" s="5">
        <v>2.5</v>
      </c>
      <c r="D68" s="5">
        <v>35</v>
      </c>
      <c r="E68" s="5">
        <v>10</v>
      </c>
      <c r="F68" s="7">
        <v>2.2811802628316391</v>
      </c>
      <c r="G68" s="10">
        <f>0.4+0.004845+0.009775+0.009</f>
        <v>0.42362</v>
      </c>
      <c r="H68" s="9">
        <f t="shared" ref="H68:H131" si="1">F68-G68</f>
        <v>1.857560262831639</v>
      </c>
    </row>
    <row r="69" spans="1:8">
      <c r="A69" s="5">
        <v>67</v>
      </c>
      <c r="B69" s="6" t="s">
        <v>610</v>
      </c>
      <c r="C69" s="5">
        <v>4.13</v>
      </c>
      <c r="D69" s="5">
        <v>50</v>
      </c>
      <c r="E69" s="5">
        <v>10</v>
      </c>
      <c r="F69" s="7">
        <v>1.7806577982166327</v>
      </c>
      <c r="G69" s="6">
        <v>1.7000000000000001E-2</v>
      </c>
      <c r="H69" s="9">
        <f t="shared" si="1"/>
        <v>1.7636577982166328</v>
      </c>
    </row>
    <row r="70" spans="1:8">
      <c r="A70" s="5">
        <v>68</v>
      </c>
      <c r="B70" s="6" t="s">
        <v>611</v>
      </c>
      <c r="C70" s="5">
        <v>2.2400000000000002</v>
      </c>
      <c r="D70" s="5">
        <v>50</v>
      </c>
      <c r="E70" s="5">
        <v>10</v>
      </c>
      <c r="F70" s="7">
        <v>3.2830878154619167</v>
      </c>
      <c r="G70" s="10">
        <f>0.05+0.01105+0.0057</f>
        <v>6.6750000000000004E-2</v>
      </c>
      <c r="H70" s="9">
        <f t="shared" si="1"/>
        <v>3.2163378154619169</v>
      </c>
    </row>
    <row r="71" spans="1:8">
      <c r="A71" s="5">
        <v>69</v>
      </c>
      <c r="B71" s="6" t="s">
        <v>612</v>
      </c>
      <c r="C71" s="5">
        <v>3.57</v>
      </c>
      <c r="D71" s="5">
        <v>50</v>
      </c>
      <c r="E71" s="5">
        <v>10</v>
      </c>
      <c r="F71" s="7">
        <v>2.0599766685251244</v>
      </c>
      <c r="G71" s="6">
        <f>0.157+0.0417</f>
        <v>0.19869999999999999</v>
      </c>
      <c r="H71" s="9">
        <f t="shared" si="1"/>
        <v>1.8612766685251243</v>
      </c>
    </row>
    <row r="72" spans="1:8">
      <c r="A72" s="5">
        <v>70</v>
      </c>
      <c r="B72" s="6" t="s">
        <v>613</v>
      </c>
      <c r="C72" s="5">
        <v>1.89</v>
      </c>
      <c r="D72" s="5">
        <v>35</v>
      </c>
      <c r="E72" s="5">
        <v>10</v>
      </c>
      <c r="F72" s="7">
        <v>2.7853000000000003</v>
      </c>
      <c r="G72" s="6">
        <f>0.034+0.0195</f>
        <v>5.3500000000000006E-2</v>
      </c>
      <c r="H72" s="9">
        <f t="shared" si="1"/>
        <v>2.7318000000000002</v>
      </c>
    </row>
    <row r="73" spans="1:8">
      <c r="A73" s="5">
        <v>71</v>
      </c>
      <c r="B73" s="6" t="s">
        <v>614</v>
      </c>
      <c r="C73" s="5">
        <v>4.6900000000000004</v>
      </c>
      <c r="D73" s="5">
        <v>50</v>
      </c>
      <c r="E73" s="5">
        <v>10</v>
      </c>
      <c r="F73" s="7">
        <v>1.5680419417131541</v>
      </c>
      <c r="G73" s="6">
        <v>0</v>
      </c>
      <c r="H73" s="9">
        <f t="shared" si="1"/>
        <v>1.5680419417131541</v>
      </c>
    </row>
    <row r="74" spans="1:8">
      <c r="A74" s="5">
        <v>72</v>
      </c>
      <c r="B74" s="6" t="s">
        <v>615</v>
      </c>
      <c r="C74" s="5">
        <v>19.5</v>
      </c>
      <c r="D74" s="5">
        <v>50</v>
      </c>
      <c r="E74" s="5">
        <v>10</v>
      </c>
      <c r="F74" s="7">
        <v>0.37713419008383042</v>
      </c>
      <c r="G74" s="10">
        <f>0.025+0.00235+0.00235+0.0105</f>
        <v>4.0200000000000007E-2</v>
      </c>
      <c r="H74" s="9">
        <f t="shared" si="1"/>
        <v>0.33693419008383041</v>
      </c>
    </row>
    <row r="75" spans="1:8">
      <c r="A75" s="5">
        <v>73</v>
      </c>
      <c r="B75" s="6" t="s">
        <v>616</v>
      </c>
      <c r="C75" s="5">
        <v>1.6</v>
      </c>
      <c r="D75" s="5">
        <v>50</v>
      </c>
      <c r="E75" s="5">
        <v>10</v>
      </c>
      <c r="F75" s="7">
        <v>3.3423600000000007</v>
      </c>
      <c r="G75" s="10">
        <f>0.052+0.00235+0.0105</f>
        <v>6.4849999999999991E-2</v>
      </c>
      <c r="H75" s="9">
        <f t="shared" si="1"/>
        <v>3.2775100000000008</v>
      </c>
    </row>
    <row r="76" spans="1:8">
      <c r="A76" s="5">
        <v>74</v>
      </c>
      <c r="B76" s="6" t="s">
        <v>617</v>
      </c>
      <c r="C76" s="5">
        <v>3.3</v>
      </c>
      <c r="D76" s="5">
        <v>50</v>
      </c>
      <c r="E76" s="5">
        <v>10</v>
      </c>
      <c r="F76" s="7">
        <v>2.2285202141317253</v>
      </c>
      <c r="G76" s="6">
        <v>0.1</v>
      </c>
      <c r="H76" s="9">
        <f t="shared" si="1"/>
        <v>2.1285202141317252</v>
      </c>
    </row>
    <row r="77" spans="1:8">
      <c r="A77" s="5">
        <v>75</v>
      </c>
      <c r="B77" s="6" t="s">
        <v>618</v>
      </c>
      <c r="C77" s="5">
        <v>3.3</v>
      </c>
      <c r="D77" s="5">
        <v>50</v>
      </c>
      <c r="E77" s="5">
        <v>10</v>
      </c>
      <c r="F77" s="7">
        <v>2.2285202141317253</v>
      </c>
      <c r="G77" s="6">
        <v>0.03</v>
      </c>
      <c r="H77" s="9">
        <f t="shared" si="1"/>
        <v>2.1985202141317255</v>
      </c>
    </row>
    <row r="78" spans="1:8">
      <c r="A78" s="5">
        <v>76</v>
      </c>
      <c r="B78" s="6" t="s">
        <v>619</v>
      </c>
      <c r="C78" s="5">
        <v>5.7</v>
      </c>
      <c r="D78" s="5">
        <v>50</v>
      </c>
      <c r="E78" s="5">
        <v>10</v>
      </c>
      <c r="F78" s="7">
        <v>1.2901959134446832</v>
      </c>
      <c r="G78" s="6">
        <v>0.13</v>
      </c>
      <c r="H78" s="9">
        <f t="shared" si="1"/>
        <v>1.1601959134446833</v>
      </c>
    </row>
    <row r="79" spans="1:8">
      <c r="A79" s="5">
        <v>77</v>
      </c>
      <c r="B79" s="6" t="s">
        <v>620</v>
      </c>
      <c r="C79" s="5">
        <v>10.15</v>
      </c>
      <c r="D79" s="5">
        <v>50</v>
      </c>
      <c r="E79" s="5">
        <v>10</v>
      </c>
      <c r="F79" s="7">
        <v>0.72454351789504368</v>
      </c>
      <c r="G79" s="6">
        <f>0.05+0.0049+0.0006</f>
        <v>5.5500000000000008E-2</v>
      </c>
      <c r="H79" s="9">
        <f t="shared" si="1"/>
        <v>0.66904351789504368</v>
      </c>
    </row>
    <row r="80" spans="1:8">
      <c r="A80" s="5">
        <v>78</v>
      </c>
      <c r="B80" s="6" t="s">
        <v>621</v>
      </c>
      <c r="C80" s="5">
        <v>14.98</v>
      </c>
      <c r="D80" s="5">
        <v>35</v>
      </c>
      <c r="E80" s="5">
        <v>10</v>
      </c>
      <c r="F80" s="7">
        <v>0.38070431622690909</v>
      </c>
      <c r="G80" s="6">
        <f>0.511+0.0097</f>
        <v>0.52070000000000005</v>
      </c>
      <c r="H80" s="9">
        <f t="shared" si="1"/>
        <v>-0.13999568377309096</v>
      </c>
    </row>
    <row r="81" spans="1:8">
      <c r="A81" s="5">
        <v>79</v>
      </c>
      <c r="B81" s="6" t="s">
        <v>622</v>
      </c>
      <c r="C81" s="5">
        <v>8.19</v>
      </c>
      <c r="D81" s="5">
        <v>35</v>
      </c>
      <c r="E81" s="5">
        <v>10</v>
      </c>
      <c r="F81" s="7">
        <v>0.69633097156032953</v>
      </c>
      <c r="G81" s="6">
        <v>2E-3</v>
      </c>
      <c r="H81" s="9">
        <f t="shared" si="1"/>
        <v>0.69433097156032952</v>
      </c>
    </row>
    <row r="82" spans="1:8">
      <c r="A82" s="5">
        <v>80</v>
      </c>
      <c r="B82" s="6" t="s">
        <v>623</v>
      </c>
      <c r="C82" s="5">
        <v>4.2</v>
      </c>
      <c r="D82" s="5">
        <v>35</v>
      </c>
      <c r="E82" s="5">
        <v>10</v>
      </c>
      <c r="F82" s="7">
        <v>1.3578453945426425</v>
      </c>
      <c r="G82" s="6">
        <v>1.7000000000000001E-2</v>
      </c>
      <c r="H82" s="9">
        <f t="shared" si="1"/>
        <v>1.3408453945426426</v>
      </c>
    </row>
    <row r="83" spans="1:8">
      <c r="A83" s="5">
        <v>81</v>
      </c>
      <c r="B83" s="6" t="s">
        <v>624</v>
      </c>
      <c r="C83" s="5">
        <v>0.5</v>
      </c>
      <c r="D83" s="5">
        <v>50</v>
      </c>
      <c r="E83" s="5">
        <v>10</v>
      </c>
      <c r="F83" s="7">
        <v>3.3423600000000007</v>
      </c>
      <c r="G83" s="6">
        <v>1.7000000000000001E-2</v>
      </c>
      <c r="H83" s="9">
        <f t="shared" si="1"/>
        <v>3.3253600000000008</v>
      </c>
    </row>
    <row r="84" spans="1:8">
      <c r="A84" s="5">
        <v>82</v>
      </c>
      <c r="B84" s="6" t="s">
        <v>625</v>
      </c>
      <c r="C84" s="5">
        <v>11.41</v>
      </c>
      <c r="D84" s="5">
        <v>50</v>
      </c>
      <c r="E84" s="5">
        <v>10</v>
      </c>
      <c r="F84" s="7">
        <v>0.64453257726859714</v>
      </c>
      <c r="G84" s="10">
        <f>0.009+0.00235</f>
        <v>1.1349999999999999E-2</v>
      </c>
      <c r="H84" s="9">
        <f t="shared" si="1"/>
        <v>0.63318257726859717</v>
      </c>
    </row>
    <row r="85" spans="1:8">
      <c r="A85" s="5">
        <v>83</v>
      </c>
      <c r="B85" s="6" t="s">
        <v>626</v>
      </c>
      <c r="C85" s="5">
        <v>10.85</v>
      </c>
      <c r="D85" s="5">
        <v>50</v>
      </c>
      <c r="E85" s="5">
        <v>10</v>
      </c>
      <c r="F85" s="7">
        <v>0.67779877480504103</v>
      </c>
      <c r="G85" s="6">
        <f>0.324+0.00935+0.0094</f>
        <v>0.34275000000000005</v>
      </c>
      <c r="H85" s="9">
        <f t="shared" si="1"/>
        <v>0.33504877480504097</v>
      </c>
    </row>
    <row r="86" spans="1:8">
      <c r="A86" s="5">
        <v>84</v>
      </c>
      <c r="B86" s="6" t="s">
        <v>627</v>
      </c>
      <c r="C86" s="5">
        <v>8.19</v>
      </c>
      <c r="D86" s="5">
        <v>35</v>
      </c>
      <c r="E86" s="5">
        <v>10</v>
      </c>
      <c r="F86" s="7">
        <v>0.69633097156032953</v>
      </c>
      <c r="G86" s="6">
        <v>1.2999999999999999E-2</v>
      </c>
      <c r="H86" s="9">
        <f t="shared" si="1"/>
        <v>0.68333097156032951</v>
      </c>
    </row>
    <row r="87" spans="1:8">
      <c r="A87" s="5">
        <v>85</v>
      </c>
      <c r="B87" s="6" t="s">
        <v>628</v>
      </c>
      <c r="C87" s="5">
        <v>0.26</v>
      </c>
      <c r="D87" s="5">
        <v>35</v>
      </c>
      <c r="E87" s="5">
        <v>10</v>
      </c>
      <c r="F87" s="7">
        <v>2.7853000000000003</v>
      </c>
      <c r="G87" s="6">
        <v>3.3000000000000002E-2</v>
      </c>
      <c r="H87" s="9">
        <f t="shared" si="1"/>
        <v>2.7523000000000004</v>
      </c>
    </row>
    <row r="88" spans="1:8">
      <c r="A88" s="5">
        <v>86</v>
      </c>
      <c r="B88" s="6" t="s">
        <v>629</v>
      </c>
      <c r="C88" s="5">
        <v>0.42</v>
      </c>
      <c r="D88" s="5">
        <v>50</v>
      </c>
      <c r="E88" s="5">
        <v>10</v>
      </c>
      <c r="F88" s="7">
        <v>3.3423600000000007</v>
      </c>
      <c r="G88" s="6">
        <v>8.9999999999999993E-3</v>
      </c>
      <c r="H88" s="9">
        <f t="shared" si="1"/>
        <v>3.3333600000000008</v>
      </c>
    </row>
    <row r="89" spans="1:8">
      <c r="A89" s="5">
        <v>87</v>
      </c>
      <c r="B89" s="6" t="s">
        <v>630</v>
      </c>
      <c r="C89" s="5">
        <v>2.52</v>
      </c>
      <c r="D89" s="5">
        <v>50</v>
      </c>
      <c r="E89" s="5">
        <v>10</v>
      </c>
      <c r="F89" s="7">
        <v>2.9183002804105929</v>
      </c>
      <c r="G89" s="6">
        <v>0.13600000000000001</v>
      </c>
      <c r="H89" s="9">
        <f t="shared" si="1"/>
        <v>2.7823002804105927</v>
      </c>
    </row>
    <row r="90" spans="1:8">
      <c r="A90" s="5">
        <v>88</v>
      </c>
      <c r="B90" s="6" t="s">
        <v>631</v>
      </c>
      <c r="C90" s="5">
        <v>7.07</v>
      </c>
      <c r="D90" s="5">
        <v>35</v>
      </c>
      <c r="E90" s="5">
        <v>10</v>
      </c>
      <c r="F90" s="7">
        <v>0.80664082844117369</v>
      </c>
      <c r="G90" s="6">
        <f>0.136+0.0099+0.00119</f>
        <v>0.14709</v>
      </c>
      <c r="H90" s="9">
        <f t="shared" si="1"/>
        <v>0.65955082844117374</v>
      </c>
    </row>
    <row r="91" spans="1:8">
      <c r="A91" s="5">
        <v>89</v>
      </c>
      <c r="B91" s="6" t="s">
        <v>632</v>
      </c>
      <c r="C91" s="5">
        <v>9.0299999999999994</v>
      </c>
      <c r="D91" s="5">
        <v>35</v>
      </c>
      <c r="E91" s="5">
        <v>10</v>
      </c>
      <c r="F91" s="7">
        <v>0.63155599746169411</v>
      </c>
      <c r="G91" s="10">
        <f>0.089+0.00235</f>
        <v>9.1350000000000001E-2</v>
      </c>
      <c r="H91" s="9">
        <f t="shared" si="1"/>
        <v>0.54020599746169407</v>
      </c>
    </row>
    <row r="92" spans="1:8">
      <c r="A92" s="5">
        <v>90</v>
      </c>
      <c r="B92" s="6" t="s">
        <v>633</v>
      </c>
      <c r="C92" s="5">
        <v>0.27</v>
      </c>
      <c r="D92" s="5">
        <v>50</v>
      </c>
      <c r="E92" s="5">
        <v>10</v>
      </c>
      <c r="F92" s="7">
        <v>3.3423600000000007</v>
      </c>
      <c r="G92" s="6">
        <v>2.7E-2</v>
      </c>
      <c r="H92" s="9">
        <f t="shared" si="1"/>
        <v>3.3153600000000005</v>
      </c>
    </row>
    <row r="93" spans="1:8">
      <c r="A93" s="5">
        <v>91</v>
      </c>
      <c r="B93" s="6" t="s">
        <v>634</v>
      </c>
      <c r="C93" s="5">
        <v>19.399999999999999</v>
      </c>
      <c r="D93" s="5">
        <v>35</v>
      </c>
      <c r="E93" s="5">
        <v>10</v>
      </c>
      <c r="F93" s="7">
        <v>0.29396652871541745</v>
      </c>
      <c r="G93" s="6">
        <v>8.0000000000000002E-3</v>
      </c>
      <c r="H93" s="9">
        <f t="shared" si="1"/>
        <v>0.28596652871541745</v>
      </c>
    </row>
    <row r="94" spans="1:8">
      <c r="A94" s="5">
        <v>92</v>
      </c>
      <c r="B94" s="6" t="s">
        <v>635</v>
      </c>
      <c r="C94" s="5">
        <v>2.0299999999999998</v>
      </c>
      <c r="D94" s="5">
        <v>35</v>
      </c>
      <c r="E94" s="5">
        <v>10</v>
      </c>
      <c r="F94" s="7">
        <v>2.7853000000000003</v>
      </c>
      <c r="G94" s="10">
        <f>0.008+0.02703</f>
        <v>3.5029999999999999E-2</v>
      </c>
      <c r="H94" s="9">
        <f t="shared" si="1"/>
        <v>2.7502700000000004</v>
      </c>
    </row>
    <row r="95" spans="1:8">
      <c r="A95" s="5">
        <v>93</v>
      </c>
      <c r="B95" s="6" t="s">
        <v>636</v>
      </c>
      <c r="C95" s="5">
        <v>19.04</v>
      </c>
      <c r="D95" s="5">
        <v>35</v>
      </c>
      <c r="E95" s="5">
        <v>10</v>
      </c>
      <c r="F95" s="7">
        <v>0.29952471938440639</v>
      </c>
      <c r="G95" s="10">
        <f>0.129+0.00442</f>
        <v>0.13342000000000001</v>
      </c>
      <c r="H95" s="9">
        <f t="shared" si="1"/>
        <v>0.16610471938440638</v>
      </c>
    </row>
    <row r="96" spans="1:8">
      <c r="A96" s="5">
        <v>94</v>
      </c>
      <c r="B96" s="6" t="s">
        <v>637</v>
      </c>
      <c r="C96" s="5">
        <v>4.0999999999999996</v>
      </c>
      <c r="D96" s="5">
        <v>35</v>
      </c>
      <c r="E96" s="5">
        <v>10</v>
      </c>
      <c r="F96" s="7">
        <v>1.390963574897341</v>
      </c>
      <c r="G96" s="6">
        <f>0.066+0.0022</f>
        <v>6.8199999999999997E-2</v>
      </c>
      <c r="H96" s="9">
        <f t="shared" si="1"/>
        <v>1.322763574897341</v>
      </c>
    </row>
    <row r="97" spans="1:8">
      <c r="A97" s="5">
        <v>95</v>
      </c>
      <c r="B97" s="6" t="s">
        <v>638</v>
      </c>
      <c r="C97" s="5">
        <v>2.1</v>
      </c>
      <c r="D97" s="5">
        <v>35</v>
      </c>
      <c r="E97" s="5">
        <v>10</v>
      </c>
      <c r="F97" s="7">
        <v>2.7156907890852851</v>
      </c>
      <c r="G97" s="6">
        <v>1.6E-2</v>
      </c>
      <c r="H97" s="9">
        <f t="shared" si="1"/>
        <v>2.699690789085285</v>
      </c>
    </row>
    <row r="98" spans="1:8">
      <c r="A98" s="5">
        <v>96</v>
      </c>
      <c r="B98" s="6" t="s">
        <v>639</v>
      </c>
      <c r="C98" s="5">
        <v>9</v>
      </c>
      <c r="D98" s="5">
        <v>35</v>
      </c>
      <c r="E98" s="5">
        <v>10</v>
      </c>
      <c r="F98" s="7">
        <v>0.6336611841198998</v>
      </c>
      <c r="G98" s="10">
        <f>0.016+0.00425</f>
        <v>2.0250000000000001E-2</v>
      </c>
      <c r="H98" s="9">
        <f t="shared" si="1"/>
        <v>0.61341118411989981</v>
      </c>
    </row>
    <row r="99" spans="1:8">
      <c r="A99" s="5">
        <v>97</v>
      </c>
      <c r="B99" s="6" t="s">
        <v>640</v>
      </c>
      <c r="C99" s="5">
        <v>19.597999999999999</v>
      </c>
      <c r="D99" s="5">
        <v>35</v>
      </c>
      <c r="E99" s="5">
        <v>10</v>
      </c>
      <c r="F99" s="7">
        <v>0.2909965637860546</v>
      </c>
      <c r="G99" s="10">
        <f>0.032+0.0051+0.0105+0.00235+0.009</f>
        <v>5.8950000000000002E-2</v>
      </c>
      <c r="H99" s="9">
        <f t="shared" si="1"/>
        <v>0.23204656378605459</v>
      </c>
    </row>
    <row r="100" spans="1:8">
      <c r="A100" s="5">
        <v>98</v>
      </c>
      <c r="B100" s="6" t="s">
        <v>641</v>
      </c>
      <c r="C100" s="5">
        <v>2.5</v>
      </c>
      <c r="D100" s="5">
        <v>35</v>
      </c>
      <c r="E100" s="5">
        <v>10</v>
      </c>
      <c r="F100" s="7">
        <v>2.2811802628316391</v>
      </c>
      <c r="G100" s="6">
        <v>8.0000000000000002E-3</v>
      </c>
      <c r="H100" s="9">
        <f t="shared" si="1"/>
        <v>2.2731802628316391</v>
      </c>
    </row>
    <row r="101" spans="1:8">
      <c r="A101" s="5">
        <v>99</v>
      </c>
      <c r="B101" s="6" t="s">
        <v>642</v>
      </c>
      <c r="C101" s="5">
        <v>0.6</v>
      </c>
      <c r="D101" s="5">
        <v>35</v>
      </c>
      <c r="E101" s="5">
        <v>10</v>
      </c>
      <c r="F101" s="7">
        <v>2.7853000000000003</v>
      </c>
      <c r="G101" s="6">
        <v>1.6E-2</v>
      </c>
      <c r="H101" s="9">
        <f t="shared" si="1"/>
        <v>2.7693000000000003</v>
      </c>
    </row>
    <row r="102" spans="1:8">
      <c r="A102" s="5">
        <v>100</v>
      </c>
      <c r="B102" s="6" t="s">
        <v>643</v>
      </c>
      <c r="C102" s="5">
        <v>4.5999999999999996</v>
      </c>
      <c r="D102" s="5">
        <v>35</v>
      </c>
      <c r="E102" s="5">
        <v>10</v>
      </c>
      <c r="F102" s="7">
        <v>1.2397718819737169</v>
      </c>
      <c r="G102" s="6">
        <f>0.129+0.0058+0.0047</f>
        <v>0.13950000000000001</v>
      </c>
      <c r="H102" s="9">
        <f t="shared" si="1"/>
        <v>1.1002718819737169</v>
      </c>
    </row>
    <row r="103" spans="1:8">
      <c r="A103" s="5">
        <v>101</v>
      </c>
      <c r="B103" s="6" t="s">
        <v>644</v>
      </c>
      <c r="C103" s="5">
        <v>12.32</v>
      </c>
      <c r="D103" s="5">
        <v>50</v>
      </c>
      <c r="E103" s="5">
        <v>10</v>
      </c>
      <c r="F103" s="7">
        <v>0.5969250573567122</v>
      </c>
      <c r="G103" s="10">
        <f>0.084+0.0105+0.00235+0.0091</f>
        <v>0.10595</v>
      </c>
      <c r="H103" s="9">
        <f t="shared" si="1"/>
        <v>0.49097505735671221</v>
      </c>
    </row>
    <row r="104" spans="1:8">
      <c r="A104" s="5">
        <v>102</v>
      </c>
      <c r="B104" s="6" t="s">
        <v>645</v>
      </c>
      <c r="C104" s="5">
        <v>14.26</v>
      </c>
      <c r="D104" s="5">
        <v>50</v>
      </c>
      <c r="E104" s="5">
        <v>10</v>
      </c>
      <c r="F104" s="7">
        <v>0.515716459090792</v>
      </c>
      <c r="G104" s="6">
        <v>0.28699999999999998</v>
      </c>
      <c r="H104" s="9">
        <f t="shared" si="1"/>
        <v>0.22871645909079202</v>
      </c>
    </row>
    <row r="105" spans="1:8">
      <c r="A105" s="5">
        <v>103</v>
      </c>
      <c r="B105" s="6" t="s">
        <v>646</v>
      </c>
      <c r="C105" s="5">
        <v>15.43</v>
      </c>
      <c r="D105" s="5">
        <v>50</v>
      </c>
      <c r="E105" s="5">
        <v>10</v>
      </c>
      <c r="F105" s="7">
        <v>0.47661158176504814</v>
      </c>
      <c r="G105" s="10">
        <f>0.117+0.0034+0.00235</f>
        <v>0.12275000000000001</v>
      </c>
      <c r="H105" s="9">
        <f t="shared" si="1"/>
        <v>0.35386158176504812</v>
      </c>
    </row>
    <row r="106" spans="1:8">
      <c r="A106" s="5">
        <v>104</v>
      </c>
      <c r="B106" s="6" t="s">
        <v>647</v>
      </c>
      <c r="C106" s="5">
        <v>4.0199999999999996</v>
      </c>
      <c r="D106" s="5">
        <v>35</v>
      </c>
      <c r="E106" s="5">
        <v>10</v>
      </c>
      <c r="F106" s="7">
        <v>1.4186444420594773</v>
      </c>
      <c r="G106" s="6">
        <v>0</v>
      </c>
      <c r="H106" s="9">
        <f t="shared" si="1"/>
        <v>1.4186444420594773</v>
      </c>
    </row>
    <row r="107" spans="1:8">
      <c r="A107" s="5">
        <v>105</v>
      </c>
      <c r="B107" s="6" t="s">
        <v>648</v>
      </c>
      <c r="C107" s="5">
        <v>7.1</v>
      </c>
      <c r="D107" s="5">
        <v>50</v>
      </c>
      <c r="E107" s="5">
        <v>10</v>
      </c>
      <c r="F107" s="7">
        <v>1.0357910854415062</v>
      </c>
      <c r="G107" s="6">
        <v>1.7000000000000001E-2</v>
      </c>
      <c r="H107" s="9">
        <f t="shared" si="1"/>
        <v>1.0187910854415063</v>
      </c>
    </row>
    <row r="108" spans="1:8">
      <c r="A108" s="5">
        <v>106</v>
      </c>
      <c r="B108" s="6" t="s">
        <v>649</v>
      </c>
      <c r="C108" s="5">
        <v>10.5</v>
      </c>
      <c r="D108" s="5">
        <v>50</v>
      </c>
      <c r="E108" s="5">
        <v>10</v>
      </c>
      <c r="F108" s="7">
        <v>0.7003920672985422</v>
      </c>
      <c r="G108" s="10">
        <f>0.337+0.0066+0.0086+0.006</f>
        <v>0.35820000000000002</v>
      </c>
      <c r="H108" s="9">
        <f t="shared" si="1"/>
        <v>0.34219206729854218</v>
      </c>
    </row>
    <row r="109" spans="1:8">
      <c r="A109" s="5">
        <v>107</v>
      </c>
      <c r="B109" s="6" t="s">
        <v>650</v>
      </c>
      <c r="C109" s="5">
        <v>1.7</v>
      </c>
      <c r="D109" s="5">
        <v>35</v>
      </c>
      <c r="E109" s="5">
        <v>10</v>
      </c>
      <c r="F109" s="7">
        <v>2.7853000000000003</v>
      </c>
      <c r="G109" s="6">
        <v>3.4000000000000002E-2</v>
      </c>
      <c r="H109" s="9">
        <f t="shared" si="1"/>
        <v>2.7513000000000005</v>
      </c>
    </row>
    <row r="110" spans="1:8">
      <c r="A110" s="5">
        <v>108</v>
      </c>
      <c r="B110" s="6" t="s">
        <v>651</v>
      </c>
      <c r="C110" s="5">
        <v>12</v>
      </c>
      <c r="D110" s="5">
        <v>50</v>
      </c>
      <c r="E110" s="5">
        <v>10</v>
      </c>
      <c r="F110" s="7">
        <v>0.61284305888622448</v>
      </c>
      <c r="G110" s="6">
        <v>3.4000000000000002E-2</v>
      </c>
      <c r="H110" s="9">
        <f t="shared" si="1"/>
        <v>0.57884305888622445</v>
      </c>
    </row>
    <row r="111" spans="1:8">
      <c r="A111" s="5">
        <v>109</v>
      </c>
      <c r="B111" s="6" t="s">
        <v>652</v>
      </c>
      <c r="C111" s="5">
        <v>19.809999999999999</v>
      </c>
      <c r="D111" s="5">
        <v>35</v>
      </c>
      <c r="E111" s="5">
        <v>10</v>
      </c>
      <c r="F111" s="7">
        <v>0.28788241580409379</v>
      </c>
      <c r="G111" s="6">
        <v>0</v>
      </c>
      <c r="H111" s="9">
        <f t="shared" si="1"/>
        <v>0.28788241580409379</v>
      </c>
    </row>
    <row r="112" spans="1:8">
      <c r="A112" s="5">
        <v>110</v>
      </c>
      <c r="B112" s="6" t="s">
        <v>653</v>
      </c>
      <c r="C112" s="5">
        <v>13.56</v>
      </c>
      <c r="D112" s="5">
        <v>35</v>
      </c>
      <c r="E112" s="5">
        <v>10</v>
      </c>
      <c r="F112" s="7">
        <v>0.42057158238046438</v>
      </c>
      <c r="G112" s="10">
        <f>0.067+0.00235+0.0105+0.00867</f>
        <v>8.8520000000000001E-2</v>
      </c>
      <c r="H112" s="9">
        <f t="shared" si="1"/>
        <v>0.33205158238046439</v>
      </c>
    </row>
    <row r="113" spans="1:8">
      <c r="A113" s="5">
        <v>111</v>
      </c>
      <c r="B113" s="6" t="s">
        <v>654</v>
      </c>
      <c r="C113" s="5">
        <v>3.25</v>
      </c>
      <c r="D113" s="5">
        <v>35</v>
      </c>
      <c r="E113" s="5">
        <v>10</v>
      </c>
      <c r="F113" s="7">
        <v>1.7547540483320301</v>
      </c>
      <c r="G113" s="6">
        <v>0.13500000000000001</v>
      </c>
      <c r="H113" s="9">
        <f t="shared" si="1"/>
        <v>1.6197540483320301</v>
      </c>
    </row>
    <row r="114" spans="1:8">
      <c r="A114" s="5">
        <v>112</v>
      </c>
      <c r="B114" s="6" t="s">
        <v>655</v>
      </c>
      <c r="C114" s="5">
        <v>2.5249999999999999</v>
      </c>
      <c r="D114" s="5">
        <v>35</v>
      </c>
      <c r="E114" s="5">
        <v>10</v>
      </c>
      <c r="F114" s="7">
        <v>2.2585943196352862</v>
      </c>
      <c r="G114" s="6">
        <f>0.058+0.00935</f>
        <v>6.7350000000000007E-2</v>
      </c>
      <c r="H114" s="9">
        <f t="shared" si="1"/>
        <v>2.1912443196352864</v>
      </c>
    </row>
    <row r="115" spans="1:8">
      <c r="A115" s="5">
        <v>113</v>
      </c>
      <c r="B115" s="6" t="s">
        <v>656</v>
      </c>
      <c r="C115" s="5">
        <v>10.199999999999999</v>
      </c>
      <c r="D115" s="5">
        <v>35</v>
      </c>
      <c r="E115" s="5">
        <v>10</v>
      </c>
      <c r="F115" s="7">
        <v>0.5591128095175586</v>
      </c>
      <c r="G115" s="6">
        <v>4.0000000000000001E-3</v>
      </c>
      <c r="H115" s="9">
        <f t="shared" si="1"/>
        <v>0.55511280951755859</v>
      </c>
    </row>
    <row r="116" spans="1:8">
      <c r="A116" s="5">
        <v>114</v>
      </c>
      <c r="B116" s="6" t="s">
        <v>657</v>
      </c>
      <c r="C116" s="5">
        <v>5.5250000000000004</v>
      </c>
      <c r="D116" s="5">
        <v>35</v>
      </c>
      <c r="E116" s="5">
        <v>10</v>
      </c>
      <c r="F116" s="7">
        <v>1.0322082637247234</v>
      </c>
      <c r="G116" s="6">
        <v>2.4E-2</v>
      </c>
      <c r="H116" s="9">
        <f t="shared" si="1"/>
        <v>1.0082082637247234</v>
      </c>
    </row>
    <row r="117" spans="1:8">
      <c r="A117" s="5">
        <v>115</v>
      </c>
      <c r="B117" s="6" t="s">
        <v>658</v>
      </c>
      <c r="C117" s="5">
        <v>2.31</v>
      </c>
      <c r="D117" s="5">
        <v>35</v>
      </c>
      <c r="E117" s="5">
        <v>10</v>
      </c>
      <c r="F117" s="7">
        <v>2.4688098082593495</v>
      </c>
      <c r="G117" s="6">
        <v>0.05</v>
      </c>
      <c r="H117" s="9">
        <f t="shared" si="1"/>
        <v>2.4188098082593497</v>
      </c>
    </row>
    <row r="118" spans="1:8">
      <c r="A118" s="5">
        <v>116</v>
      </c>
      <c r="B118" s="6" t="s">
        <v>659</v>
      </c>
      <c r="C118" s="5">
        <v>2.73</v>
      </c>
      <c r="D118" s="5">
        <v>35</v>
      </c>
      <c r="E118" s="5">
        <v>10</v>
      </c>
      <c r="F118" s="7">
        <v>2.088992914680988</v>
      </c>
      <c r="G118" s="6">
        <v>3.0000000000000001E-3</v>
      </c>
      <c r="H118" s="9">
        <f t="shared" si="1"/>
        <v>2.0859929146809879</v>
      </c>
    </row>
    <row r="119" spans="1:8">
      <c r="A119" s="5">
        <v>117</v>
      </c>
      <c r="B119" s="6" t="s">
        <v>660</v>
      </c>
      <c r="C119" s="5">
        <v>6.02</v>
      </c>
      <c r="D119" s="5">
        <v>35</v>
      </c>
      <c r="E119" s="5">
        <v>10</v>
      </c>
      <c r="F119" s="7">
        <v>0.94733399619254133</v>
      </c>
      <c r="G119" s="6">
        <v>7.9000000000000001E-2</v>
      </c>
      <c r="H119" s="9">
        <f t="shared" si="1"/>
        <v>0.86833399619254137</v>
      </c>
    </row>
    <row r="120" spans="1:8">
      <c r="A120" s="5">
        <v>118</v>
      </c>
      <c r="B120" s="6" t="s">
        <v>661</v>
      </c>
      <c r="C120" s="5">
        <v>1.5</v>
      </c>
      <c r="D120" s="5">
        <v>50</v>
      </c>
      <c r="E120" s="5">
        <v>10</v>
      </c>
      <c r="F120" s="7">
        <v>3.3423600000000007</v>
      </c>
      <c r="G120" s="6">
        <v>4.0000000000000001E-3</v>
      </c>
      <c r="H120" s="9">
        <f t="shared" si="1"/>
        <v>3.3383600000000007</v>
      </c>
    </row>
    <row r="121" spans="1:8">
      <c r="A121" s="5">
        <v>119</v>
      </c>
      <c r="B121" s="6" t="s">
        <v>662</v>
      </c>
      <c r="C121" s="5">
        <v>1.101</v>
      </c>
      <c r="D121" s="5">
        <v>35</v>
      </c>
      <c r="E121" s="5">
        <v>10</v>
      </c>
      <c r="F121" s="7">
        <v>2.7853000000000003</v>
      </c>
      <c r="G121" s="6">
        <v>7.0000000000000001E-3</v>
      </c>
      <c r="H121" s="9">
        <f t="shared" si="1"/>
        <v>2.7783000000000002</v>
      </c>
    </row>
    <row r="122" spans="1:8">
      <c r="A122" s="5">
        <v>120</v>
      </c>
      <c r="B122" s="6" t="s">
        <v>663</v>
      </c>
      <c r="C122" s="5">
        <v>4.4000000000000004</v>
      </c>
      <c r="D122" s="5">
        <v>50</v>
      </c>
      <c r="E122" s="5">
        <v>10</v>
      </c>
      <c r="F122" s="7">
        <v>1.671390160598794</v>
      </c>
      <c r="G122" s="6">
        <v>3.0000000000000001E-3</v>
      </c>
      <c r="H122" s="9">
        <f t="shared" si="1"/>
        <v>1.6683901605987941</v>
      </c>
    </row>
    <row r="123" spans="1:8">
      <c r="A123" s="5">
        <v>121</v>
      </c>
      <c r="B123" s="6" t="s">
        <v>664</v>
      </c>
      <c r="C123" s="5">
        <v>3.01</v>
      </c>
      <c r="D123" s="5">
        <v>50</v>
      </c>
      <c r="E123" s="5">
        <v>10</v>
      </c>
      <c r="F123" s="7">
        <v>2.4432281417391013</v>
      </c>
      <c r="G123" s="6">
        <v>3.4000000000000002E-2</v>
      </c>
      <c r="H123" s="9">
        <f t="shared" si="1"/>
        <v>2.4092281417391015</v>
      </c>
    </row>
    <row r="124" spans="1:8">
      <c r="A124" s="5">
        <v>122</v>
      </c>
      <c r="B124" s="6" t="s">
        <v>665</v>
      </c>
      <c r="C124" s="5">
        <v>2.3199999999999998</v>
      </c>
      <c r="D124" s="5">
        <v>50</v>
      </c>
      <c r="E124" s="5">
        <v>10</v>
      </c>
      <c r="F124" s="7">
        <v>3.1698778907908167</v>
      </c>
      <c r="G124" s="6">
        <v>1.7000000000000001E-2</v>
      </c>
      <c r="H124" s="9">
        <f t="shared" si="1"/>
        <v>3.1528778907908168</v>
      </c>
    </row>
    <row r="125" spans="1:8">
      <c r="A125" s="5">
        <v>123</v>
      </c>
      <c r="B125" s="6" t="s">
        <v>666</v>
      </c>
      <c r="C125" s="5">
        <v>4.67</v>
      </c>
      <c r="D125" s="5">
        <v>50</v>
      </c>
      <c r="E125" s="5">
        <v>10</v>
      </c>
      <c r="F125" s="7">
        <v>1.5747573247611764</v>
      </c>
      <c r="G125" s="6">
        <v>1.7000000000000001E-2</v>
      </c>
      <c r="H125" s="9">
        <f t="shared" si="1"/>
        <v>1.5577573247611765</v>
      </c>
    </row>
    <row r="126" spans="1:8">
      <c r="A126" s="5">
        <v>124</v>
      </c>
      <c r="B126" s="6" t="s">
        <v>667</v>
      </c>
      <c r="C126" s="5">
        <v>3.6</v>
      </c>
      <c r="D126" s="5">
        <v>50</v>
      </c>
      <c r="E126" s="5">
        <v>10</v>
      </c>
      <c r="F126" s="7">
        <v>2.042810196287415</v>
      </c>
      <c r="G126" s="6">
        <v>0.05</v>
      </c>
      <c r="H126" s="9">
        <f t="shared" si="1"/>
        <v>1.992810196287415</v>
      </c>
    </row>
    <row r="127" spans="1:8">
      <c r="A127" s="5">
        <v>125</v>
      </c>
      <c r="B127" s="6" t="s">
        <v>668</v>
      </c>
      <c r="C127" s="5">
        <v>2.76</v>
      </c>
      <c r="D127" s="5">
        <v>50</v>
      </c>
      <c r="E127" s="5">
        <v>10</v>
      </c>
      <c r="F127" s="7">
        <v>2.6645350386357585</v>
      </c>
      <c r="G127" s="6">
        <v>3.4000000000000002E-2</v>
      </c>
      <c r="H127" s="9">
        <f t="shared" si="1"/>
        <v>2.6305350386357587</v>
      </c>
    </row>
    <row r="128" spans="1:8">
      <c r="A128" s="5">
        <v>126</v>
      </c>
      <c r="B128" s="6" t="s">
        <v>669</v>
      </c>
      <c r="C128" s="5">
        <v>20.149999999999999</v>
      </c>
      <c r="D128" s="5">
        <v>50</v>
      </c>
      <c r="E128" s="5">
        <v>10</v>
      </c>
      <c r="F128" s="7">
        <v>0.36496857104886815</v>
      </c>
      <c r="G128" s="6">
        <v>0.24099999999999999</v>
      </c>
      <c r="H128" s="9">
        <f t="shared" si="1"/>
        <v>0.12396857104886816</v>
      </c>
    </row>
    <row r="129" spans="1:8">
      <c r="A129" s="5">
        <v>127</v>
      </c>
      <c r="B129" s="6" t="s">
        <v>670</v>
      </c>
      <c r="C129" s="5">
        <v>2.6</v>
      </c>
      <c r="D129" s="5">
        <v>35</v>
      </c>
      <c r="E129" s="5">
        <v>10</v>
      </c>
      <c r="F129" s="7">
        <v>2.193442560415038</v>
      </c>
      <c r="G129" s="6">
        <v>3.4000000000000002E-2</v>
      </c>
      <c r="H129" s="9">
        <f t="shared" si="1"/>
        <v>2.1594425604150382</v>
      </c>
    </row>
    <row r="130" spans="1:8">
      <c r="A130" s="5">
        <v>128</v>
      </c>
      <c r="B130" s="6" t="s">
        <v>671</v>
      </c>
      <c r="C130" s="5">
        <v>1.89</v>
      </c>
      <c r="D130" s="5">
        <v>35</v>
      </c>
      <c r="E130" s="5">
        <v>10</v>
      </c>
      <c r="F130" s="7">
        <v>2.7853000000000003</v>
      </c>
      <c r="G130" s="6">
        <v>3.3000000000000002E-2</v>
      </c>
      <c r="H130" s="9">
        <f t="shared" si="1"/>
        <v>2.7523000000000004</v>
      </c>
    </row>
    <row r="131" spans="1:8">
      <c r="A131" s="5">
        <v>129</v>
      </c>
      <c r="B131" s="6" t="s">
        <v>672</v>
      </c>
      <c r="C131" s="5">
        <v>9.1</v>
      </c>
      <c r="D131" s="5">
        <v>35</v>
      </c>
      <c r="E131" s="5">
        <v>10</v>
      </c>
      <c r="F131" s="7">
        <v>0.62669787440429647</v>
      </c>
      <c r="G131" s="10">
        <f>0.267+0.0099+0.0069+0.0081</f>
        <v>0.29190000000000005</v>
      </c>
      <c r="H131" s="9">
        <f t="shared" si="1"/>
        <v>0.33479787440429642</v>
      </c>
    </row>
    <row r="132" spans="1:8">
      <c r="A132" s="5">
        <v>130</v>
      </c>
      <c r="B132" s="6" t="s">
        <v>673</v>
      </c>
      <c r="C132" s="5">
        <v>2.2400000000000002</v>
      </c>
      <c r="D132" s="5">
        <v>35</v>
      </c>
      <c r="E132" s="5">
        <v>10</v>
      </c>
      <c r="F132" s="7">
        <v>2.5459601147674542</v>
      </c>
      <c r="G132" s="6">
        <f>0.1+0.0044</f>
        <v>0.10440000000000001</v>
      </c>
      <c r="H132" s="9">
        <f t="shared" ref="H132:H175" si="2">F132-G132</f>
        <v>2.4415601147674542</v>
      </c>
    </row>
    <row r="133" spans="1:8">
      <c r="A133" s="5">
        <v>131</v>
      </c>
      <c r="B133" s="6" t="s">
        <v>674</v>
      </c>
      <c r="C133" s="5">
        <v>4.2</v>
      </c>
      <c r="D133" s="5">
        <v>35</v>
      </c>
      <c r="E133" s="5">
        <v>10</v>
      </c>
      <c r="F133" s="7">
        <v>1.3578453945426425</v>
      </c>
      <c r="G133" s="6">
        <v>8.4000000000000005E-2</v>
      </c>
      <c r="H133" s="9">
        <f t="shared" si="2"/>
        <v>1.2738453945426425</v>
      </c>
    </row>
    <row r="134" spans="1:8">
      <c r="A134" s="5">
        <v>132</v>
      </c>
      <c r="B134" s="6" t="s">
        <v>675</v>
      </c>
      <c r="C134" s="5">
        <v>0.35</v>
      </c>
      <c r="D134" s="5">
        <v>35</v>
      </c>
      <c r="E134" s="5">
        <v>10</v>
      </c>
      <c r="F134" s="7">
        <v>2.7853000000000003</v>
      </c>
      <c r="G134" s="6">
        <v>0</v>
      </c>
      <c r="H134" s="9">
        <f t="shared" si="2"/>
        <v>2.7853000000000003</v>
      </c>
    </row>
    <row r="135" spans="1:8">
      <c r="A135" s="5">
        <v>133</v>
      </c>
      <c r="B135" s="6" t="s">
        <v>676</v>
      </c>
      <c r="C135" s="5">
        <v>17.579999999999998</v>
      </c>
      <c r="D135" s="5">
        <v>35</v>
      </c>
      <c r="E135" s="5">
        <v>10</v>
      </c>
      <c r="F135" s="7">
        <v>0.32439992361087022</v>
      </c>
      <c r="G135" s="6">
        <v>1.7000000000000001E-2</v>
      </c>
      <c r="H135" s="9">
        <f t="shared" si="2"/>
        <v>0.30739992361087021</v>
      </c>
    </row>
    <row r="136" spans="1:8">
      <c r="A136" s="5">
        <v>134</v>
      </c>
      <c r="B136" s="6" t="s">
        <v>677</v>
      </c>
      <c r="C136" s="5">
        <v>0.15</v>
      </c>
      <c r="D136" s="5">
        <v>50</v>
      </c>
      <c r="E136" s="5">
        <v>10</v>
      </c>
      <c r="F136" s="7">
        <v>3.3423600000000007</v>
      </c>
      <c r="G136" s="6">
        <v>0.32</v>
      </c>
      <c r="H136" s="9">
        <f t="shared" si="2"/>
        <v>3.0223600000000008</v>
      </c>
    </row>
    <row r="137" spans="1:8">
      <c r="A137" s="5">
        <v>135</v>
      </c>
      <c r="B137" s="6" t="s">
        <v>678</v>
      </c>
      <c r="C137" s="5">
        <v>3.08</v>
      </c>
      <c r="D137" s="5">
        <v>35</v>
      </c>
      <c r="E137" s="5">
        <v>10</v>
      </c>
      <c r="F137" s="7">
        <v>1.8516073561945123</v>
      </c>
      <c r="G137" s="6">
        <v>3.4000000000000002E-2</v>
      </c>
      <c r="H137" s="9">
        <f t="shared" si="2"/>
        <v>1.8176073561945123</v>
      </c>
    </row>
    <row r="138" spans="1:8">
      <c r="A138" s="5">
        <v>136</v>
      </c>
      <c r="B138" s="6" t="s">
        <v>679</v>
      </c>
      <c r="C138" s="5">
        <v>8.75</v>
      </c>
      <c r="D138" s="5">
        <v>35</v>
      </c>
      <c r="E138" s="5">
        <v>10</v>
      </c>
      <c r="F138" s="7">
        <v>0.65176578938046836</v>
      </c>
      <c r="G138" s="6">
        <v>3.4000000000000002E-2</v>
      </c>
      <c r="H138" s="9">
        <f t="shared" si="2"/>
        <v>0.61776578938046833</v>
      </c>
    </row>
    <row r="139" spans="1:8">
      <c r="A139" s="5">
        <v>137</v>
      </c>
      <c r="B139" s="6" t="s">
        <v>680</v>
      </c>
      <c r="C139" s="5">
        <v>9.1</v>
      </c>
      <c r="D139" s="5">
        <v>35</v>
      </c>
      <c r="E139" s="5">
        <v>10</v>
      </c>
      <c r="F139" s="7">
        <v>0.62669787440429647</v>
      </c>
      <c r="G139" s="10">
        <f>0.067+0.0003</f>
        <v>6.7299999999999999E-2</v>
      </c>
      <c r="H139" s="9">
        <f t="shared" si="2"/>
        <v>0.55939787440429645</v>
      </c>
    </row>
    <row r="140" spans="1:8">
      <c r="A140" s="5">
        <v>138</v>
      </c>
      <c r="B140" s="6" t="s">
        <v>681</v>
      </c>
      <c r="C140" s="5">
        <v>3.1850000000000001</v>
      </c>
      <c r="D140" s="5">
        <v>35</v>
      </c>
      <c r="E140" s="5">
        <v>10</v>
      </c>
      <c r="F140" s="7">
        <v>1.7905653554408469</v>
      </c>
      <c r="G140" s="6">
        <f>0.085+0.0105</f>
        <v>9.5500000000000002E-2</v>
      </c>
      <c r="H140" s="9">
        <f t="shared" si="2"/>
        <v>1.695065355440847</v>
      </c>
    </row>
    <row r="141" spans="1:8">
      <c r="A141" s="5">
        <v>139</v>
      </c>
      <c r="B141" s="6" t="s">
        <v>682</v>
      </c>
      <c r="C141" s="5">
        <v>15.34</v>
      </c>
      <c r="D141" s="5">
        <v>35</v>
      </c>
      <c r="E141" s="5">
        <v>10</v>
      </c>
      <c r="F141" s="7">
        <v>0.37176992549407417</v>
      </c>
      <c r="G141" s="14">
        <f>0.041+0.036165</f>
        <v>7.7165000000000011E-2</v>
      </c>
      <c r="H141" s="9">
        <f t="shared" si="2"/>
        <v>0.29460492549407413</v>
      </c>
    </row>
    <row r="142" spans="1:8">
      <c r="A142" s="5">
        <v>140</v>
      </c>
      <c r="B142" s="6" t="s">
        <v>683</v>
      </c>
      <c r="C142" s="5">
        <v>2.6</v>
      </c>
      <c r="D142" s="5">
        <v>35</v>
      </c>
      <c r="E142" s="5">
        <v>10</v>
      </c>
      <c r="F142" s="7">
        <v>2.193442560415038</v>
      </c>
      <c r="G142" s="6">
        <v>1.7000000000000001E-2</v>
      </c>
      <c r="H142" s="9">
        <f t="shared" si="2"/>
        <v>2.1764425604150381</v>
      </c>
    </row>
    <row r="143" spans="1:8">
      <c r="A143" s="5">
        <v>141</v>
      </c>
      <c r="B143" s="6" t="s">
        <v>684</v>
      </c>
      <c r="C143" s="5">
        <v>1.7549999999999999</v>
      </c>
      <c r="D143" s="5">
        <v>35</v>
      </c>
      <c r="E143" s="5">
        <v>10</v>
      </c>
      <c r="F143" s="7">
        <v>2.7853000000000003</v>
      </c>
      <c r="G143" s="6">
        <v>0.05</v>
      </c>
      <c r="H143" s="9">
        <f t="shared" si="2"/>
        <v>2.7353000000000005</v>
      </c>
    </row>
    <row r="144" spans="1:8">
      <c r="A144" s="5">
        <v>142</v>
      </c>
      <c r="B144" s="6" t="s">
        <v>685</v>
      </c>
      <c r="C144" s="5">
        <v>0.84499999999999997</v>
      </c>
      <c r="D144" s="5">
        <v>35</v>
      </c>
      <c r="E144" s="5">
        <v>10</v>
      </c>
      <c r="F144" s="7">
        <v>2.7853000000000003</v>
      </c>
      <c r="G144" s="6">
        <v>3.3000000000000002E-2</v>
      </c>
      <c r="H144" s="9">
        <f t="shared" si="2"/>
        <v>2.7523000000000004</v>
      </c>
    </row>
    <row r="145" spans="1:8">
      <c r="A145" s="5">
        <v>143</v>
      </c>
      <c r="B145" s="6" t="s">
        <v>686</v>
      </c>
      <c r="C145" s="5">
        <v>1.365</v>
      </c>
      <c r="D145" s="5">
        <v>35</v>
      </c>
      <c r="E145" s="5">
        <v>10</v>
      </c>
      <c r="F145" s="7">
        <v>2.7853000000000003</v>
      </c>
      <c r="G145" s="6">
        <v>0</v>
      </c>
      <c r="H145" s="9">
        <f t="shared" si="2"/>
        <v>2.7853000000000003</v>
      </c>
    </row>
    <row r="146" spans="1:8">
      <c r="A146" s="5">
        <v>144</v>
      </c>
      <c r="B146" s="6" t="s">
        <v>687</v>
      </c>
      <c r="C146" s="5">
        <v>1.82</v>
      </c>
      <c r="D146" s="5">
        <v>35</v>
      </c>
      <c r="E146" s="5">
        <v>10</v>
      </c>
      <c r="F146" s="7">
        <v>2.7853000000000003</v>
      </c>
      <c r="G146" s="6">
        <v>5.0999999999999997E-2</v>
      </c>
      <c r="H146" s="9">
        <f t="shared" si="2"/>
        <v>2.7343000000000002</v>
      </c>
    </row>
    <row r="147" spans="1:8">
      <c r="A147" s="5">
        <v>145</v>
      </c>
      <c r="B147" s="6" t="s">
        <v>688</v>
      </c>
      <c r="C147" s="5">
        <v>14.17</v>
      </c>
      <c r="D147" s="5">
        <v>35</v>
      </c>
      <c r="E147" s="5">
        <v>10</v>
      </c>
      <c r="F147" s="7">
        <v>0.4024665248467959</v>
      </c>
      <c r="G147" s="6">
        <f>0.102+0.00425</f>
        <v>0.10625</v>
      </c>
      <c r="H147" s="9">
        <f t="shared" si="2"/>
        <v>0.29621652484679589</v>
      </c>
    </row>
    <row r="148" spans="1:8">
      <c r="A148" s="5">
        <v>146</v>
      </c>
      <c r="B148" s="6" t="s">
        <v>689</v>
      </c>
      <c r="C148" s="5">
        <v>7.24</v>
      </c>
      <c r="D148" s="5">
        <v>50</v>
      </c>
      <c r="E148" s="5">
        <v>10</v>
      </c>
      <c r="F148" s="7">
        <v>1.0157619760545158</v>
      </c>
      <c r="G148" s="6">
        <v>3.4000000000000002E-2</v>
      </c>
      <c r="H148" s="9">
        <f t="shared" si="2"/>
        <v>0.98176197605451576</v>
      </c>
    </row>
    <row r="149" spans="1:8">
      <c r="A149" s="5">
        <v>147</v>
      </c>
      <c r="B149" s="6" t="s">
        <v>690</v>
      </c>
      <c r="C149" s="5">
        <v>12.4</v>
      </c>
      <c r="D149" s="5">
        <v>50</v>
      </c>
      <c r="E149" s="5">
        <v>10</v>
      </c>
      <c r="F149" s="7">
        <v>0.59307392795441083</v>
      </c>
      <c r="G149" s="6">
        <v>0.20200000000000001</v>
      </c>
      <c r="H149" s="9">
        <f t="shared" si="2"/>
        <v>0.39107392795441082</v>
      </c>
    </row>
    <row r="150" spans="1:8">
      <c r="A150" s="5">
        <v>148</v>
      </c>
      <c r="B150" s="6" t="s">
        <v>691</v>
      </c>
      <c r="C150" s="5">
        <v>9.6999999999999993</v>
      </c>
      <c r="D150" s="5">
        <v>50</v>
      </c>
      <c r="E150" s="5">
        <v>10</v>
      </c>
      <c r="F150" s="7">
        <v>0.75815636150873134</v>
      </c>
      <c r="G150" s="6">
        <v>3.4000000000000002E-2</v>
      </c>
      <c r="H150" s="9">
        <f t="shared" si="2"/>
        <v>0.72415636150873131</v>
      </c>
    </row>
    <row r="151" spans="1:8">
      <c r="A151" s="5">
        <v>149</v>
      </c>
      <c r="B151" s="6" t="s">
        <v>692</v>
      </c>
      <c r="C151" s="5">
        <v>1.05</v>
      </c>
      <c r="D151" s="5">
        <v>50</v>
      </c>
      <c r="E151" s="5">
        <v>10</v>
      </c>
      <c r="F151" s="7">
        <v>3.3423600000000007</v>
      </c>
      <c r="G151" s="6">
        <v>8.0000000000000002E-3</v>
      </c>
      <c r="H151" s="9">
        <f t="shared" si="2"/>
        <v>3.3343600000000007</v>
      </c>
    </row>
    <row r="152" spans="1:8">
      <c r="A152" s="5">
        <v>150</v>
      </c>
      <c r="B152" s="6" t="s">
        <v>693</v>
      </c>
      <c r="C152" s="5">
        <v>15.54</v>
      </c>
      <c r="D152" s="5">
        <v>50</v>
      </c>
      <c r="E152" s="5">
        <v>10</v>
      </c>
      <c r="F152" s="7">
        <v>0.47323788330982586</v>
      </c>
      <c r="G152" s="10">
        <f>0.008+0.00425</f>
        <v>1.225E-2</v>
      </c>
      <c r="H152" s="9">
        <f t="shared" si="2"/>
        <v>0.46098788330982587</v>
      </c>
    </row>
    <row r="153" spans="1:8">
      <c r="A153" s="5">
        <v>151</v>
      </c>
      <c r="B153" s="6" t="s">
        <v>694</v>
      </c>
      <c r="C153" s="5">
        <v>3.08</v>
      </c>
      <c r="D153" s="5">
        <v>50</v>
      </c>
      <c r="E153" s="5">
        <v>10</v>
      </c>
      <c r="F153" s="7">
        <v>2.3877002294268488</v>
      </c>
      <c r="G153" s="6">
        <v>8.4000000000000005E-2</v>
      </c>
      <c r="H153" s="9">
        <f t="shared" si="2"/>
        <v>2.3037002294268487</v>
      </c>
    </row>
    <row r="154" spans="1:8">
      <c r="A154" s="5">
        <v>152</v>
      </c>
      <c r="B154" s="6" t="s">
        <v>695</v>
      </c>
      <c r="C154" s="5">
        <v>1.54</v>
      </c>
      <c r="D154" s="5">
        <v>50</v>
      </c>
      <c r="E154" s="5">
        <v>10</v>
      </c>
      <c r="F154" s="7">
        <v>3.3423600000000007</v>
      </c>
      <c r="G154" s="6">
        <v>8.4000000000000005E-2</v>
      </c>
      <c r="H154" s="9">
        <f t="shared" si="2"/>
        <v>3.2583600000000006</v>
      </c>
    </row>
    <row r="155" spans="1:8">
      <c r="A155" s="5">
        <v>153</v>
      </c>
      <c r="B155" s="6" t="s">
        <v>696</v>
      </c>
      <c r="C155" s="5">
        <v>4.29</v>
      </c>
      <c r="D155" s="5">
        <v>50</v>
      </c>
      <c r="E155" s="5">
        <v>10</v>
      </c>
      <c r="F155" s="7">
        <v>1.7142463185628656</v>
      </c>
      <c r="G155" s="6">
        <f>0.234+0.0092</f>
        <v>0.24320000000000003</v>
      </c>
      <c r="H155" s="9">
        <f t="shared" si="2"/>
        <v>1.4710463185628655</v>
      </c>
    </row>
    <row r="156" spans="1:8">
      <c r="A156" s="5">
        <v>154</v>
      </c>
      <c r="B156" s="6" t="s">
        <v>697</v>
      </c>
      <c r="C156" s="5">
        <v>1.05</v>
      </c>
      <c r="D156" s="5">
        <v>35</v>
      </c>
      <c r="E156" s="5">
        <v>10</v>
      </c>
      <c r="F156" s="7">
        <v>2.7853000000000003</v>
      </c>
      <c r="G156" s="6">
        <v>0.23400000000000001</v>
      </c>
      <c r="H156" s="9">
        <f t="shared" si="2"/>
        <v>2.5513000000000003</v>
      </c>
    </row>
    <row r="157" spans="1:8">
      <c r="A157" s="5">
        <v>155</v>
      </c>
      <c r="B157" s="6" t="s">
        <v>698</v>
      </c>
      <c r="C157" s="5">
        <v>2</v>
      </c>
      <c r="D157" s="5">
        <v>50</v>
      </c>
      <c r="E157" s="5">
        <v>10</v>
      </c>
      <c r="F157" s="7">
        <v>3.3423600000000007</v>
      </c>
      <c r="G157" s="6">
        <f>0.05+0.0072</f>
        <v>5.7200000000000001E-2</v>
      </c>
      <c r="H157" s="9">
        <f t="shared" si="2"/>
        <v>3.2851600000000007</v>
      </c>
    </row>
    <row r="158" spans="1:8">
      <c r="A158" s="5">
        <v>156</v>
      </c>
      <c r="B158" s="6" t="s">
        <v>699</v>
      </c>
      <c r="C158" s="5">
        <v>12.875</v>
      </c>
      <c r="D158" s="5">
        <v>50</v>
      </c>
      <c r="E158" s="5">
        <v>10</v>
      </c>
      <c r="F158" s="7">
        <v>0.57119353061240341</v>
      </c>
      <c r="G158" s="6">
        <v>3.4000000000000002E-2</v>
      </c>
      <c r="H158" s="9">
        <f t="shared" si="2"/>
        <v>0.53719353061240338</v>
      </c>
    </row>
    <row r="159" spans="1:8">
      <c r="A159" s="5">
        <v>157</v>
      </c>
      <c r="B159" s="6" t="s">
        <v>700</v>
      </c>
      <c r="C159" s="5">
        <v>19.04</v>
      </c>
      <c r="D159" s="5">
        <v>35</v>
      </c>
      <c r="E159" s="5">
        <v>10</v>
      </c>
      <c r="F159" s="7">
        <v>0.29952471938440639</v>
      </c>
      <c r="G159" s="6">
        <v>5.0000000000000001E-3</v>
      </c>
      <c r="H159" s="9">
        <f t="shared" si="2"/>
        <v>0.29452471938440639</v>
      </c>
    </row>
    <row r="160" spans="1:8">
      <c r="A160" s="5">
        <v>158</v>
      </c>
      <c r="B160" s="6" t="s">
        <v>701</v>
      </c>
      <c r="C160" s="5">
        <v>3.57</v>
      </c>
      <c r="D160" s="5">
        <v>50</v>
      </c>
      <c r="E160" s="5">
        <v>10</v>
      </c>
      <c r="F160" s="7">
        <v>2.0599766685251244</v>
      </c>
      <c r="G160" s="6">
        <v>0.08</v>
      </c>
      <c r="H160" s="9">
        <f t="shared" si="2"/>
        <v>1.9799766685251243</v>
      </c>
    </row>
    <row r="161" spans="1:8">
      <c r="A161" s="5">
        <v>159</v>
      </c>
      <c r="B161" s="6" t="s">
        <v>702</v>
      </c>
      <c r="C161" s="5">
        <v>4.16</v>
      </c>
      <c r="D161" s="5">
        <v>35</v>
      </c>
      <c r="E161" s="5">
        <v>10</v>
      </c>
      <c r="F161" s="7">
        <v>1.3709016002593983</v>
      </c>
      <c r="G161" s="6">
        <v>0.1</v>
      </c>
      <c r="H161" s="9">
        <f t="shared" si="2"/>
        <v>1.2709016002593982</v>
      </c>
    </row>
    <row r="162" spans="1:8">
      <c r="A162" s="5">
        <v>160</v>
      </c>
      <c r="B162" s="6" t="s">
        <v>703</v>
      </c>
      <c r="C162" s="5">
        <v>13.9</v>
      </c>
      <c r="D162" s="5">
        <v>35</v>
      </c>
      <c r="E162" s="5">
        <v>10</v>
      </c>
      <c r="F162" s="7">
        <v>0.41028421993374803</v>
      </c>
      <c r="G162" s="6">
        <v>1.7000000000000001E-2</v>
      </c>
      <c r="H162" s="9">
        <f t="shared" si="2"/>
        <v>0.39328421993374801</v>
      </c>
    </row>
    <row r="163" spans="1:8">
      <c r="A163" s="5">
        <v>161</v>
      </c>
      <c r="B163" s="6" t="s">
        <v>704</v>
      </c>
      <c r="C163" s="5">
        <v>2.08</v>
      </c>
      <c r="D163" s="5">
        <v>35</v>
      </c>
      <c r="E163" s="5">
        <v>10</v>
      </c>
      <c r="F163" s="7">
        <v>2.7418032005187967</v>
      </c>
      <c r="G163" s="6">
        <v>3.3000000000000002E-2</v>
      </c>
      <c r="H163" s="9">
        <f t="shared" si="2"/>
        <v>2.7088032005187967</v>
      </c>
    </row>
    <row r="164" spans="1:8">
      <c r="A164" s="5">
        <v>162</v>
      </c>
      <c r="B164" s="6" t="s">
        <v>705</v>
      </c>
      <c r="C164" s="5">
        <v>0.52</v>
      </c>
      <c r="D164" s="5">
        <v>35</v>
      </c>
      <c r="E164" s="5">
        <v>10</v>
      </c>
      <c r="F164" s="7">
        <v>2.7853000000000003</v>
      </c>
      <c r="G164" s="6">
        <v>2.1999999999999999E-2</v>
      </c>
      <c r="H164" s="9">
        <f t="shared" si="2"/>
        <v>2.7633000000000005</v>
      </c>
    </row>
    <row r="165" spans="1:8">
      <c r="A165" s="5">
        <v>163</v>
      </c>
      <c r="B165" s="6" t="s">
        <v>706</v>
      </c>
      <c r="C165" s="5">
        <v>5.05</v>
      </c>
      <c r="D165" s="5">
        <v>35</v>
      </c>
      <c r="E165" s="5">
        <v>10</v>
      </c>
      <c r="F165" s="7">
        <v>1.1292971598176431</v>
      </c>
      <c r="G165" s="6">
        <f>0.118+0.0018+0.0158</f>
        <v>0.1356</v>
      </c>
      <c r="H165" s="9">
        <f t="shared" si="2"/>
        <v>0.99369715981764317</v>
      </c>
    </row>
    <row r="166" spans="1:8">
      <c r="A166" s="5">
        <v>164</v>
      </c>
      <c r="B166" s="6" t="s">
        <v>707</v>
      </c>
      <c r="C166" s="5">
        <v>2.8</v>
      </c>
      <c r="D166" s="5">
        <v>35</v>
      </c>
      <c r="E166" s="5">
        <v>10</v>
      </c>
      <c r="F166" s="7">
        <v>2.0367680918139635</v>
      </c>
      <c r="G166" s="6">
        <v>5.0000000000000001E-3</v>
      </c>
      <c r="H166" s="9">
        <f t="shared" si="2"/>
        <v>2.0317680918139636</v>
      </c>
    </row>
    <row r="167" spans="1:8">
      <c r="A167" s="5">
        <v>165</v>
      </c>
      <c r="B167" s="6" t="s">
        <v>708</v>
      </c>
      <c r="C167" s="5">
        <v>1.5</v>
      </c>
      <c r="D167" s="5">
        <v>35</v>
      </c>
      <c r="E167" s="5">
        <v>10</v>
      </c>
      <c r="F167" s="7">
        <v>2.7853000000000003</v>
      </c>
      <c r="G167" s="6">
        <v>3.3000000000000002E-2</v>
      </c>
      <c r="H167" s="9">
        <f t="shared" si="2"/>
        <v>2.7523000000000004</v>
      </c>
    </row>
    <row r="168" spans="1:8">
      <c r="A168" s="5">
        <v>166</v>
      </c>
      <c r="B168" s="6" t="s">
        <v>709</v>
      </c>
      <c r="C168" s="5">
        <v>5.95</v>
      </c>
      <c r="D168" s="5">
        <v>50</v>
      </c>
      <c r="E168" s="5">
        <v>10</v>
      </c>
      <c r="F168" s="7">
        <v>1.2359860011150745</v>
      </c>
      <c r="G168" s="6">
        <v>3.4000000000000002E-2</v>
      </c>
      <c r="H168" s="9">
        <f t="shared" si="2"/>
        <v>1.2019860011150745</v>
      </c>
    </row>
    <row r="169" spans="1:8">
      <c r="A169" s="5">
        <v>167</v>
      </c>
      <c r="B169" s="6" t="s">
        <v>710</v>
      </c>
      <c r="C169" s="5">
        <v>16.899999999999999</v>
      </c>
      <c r="D169" s="5">
        <v>25</v>
      </c>
      <c r="E169" s="5">
        <v>10</v>
      </c>
      <c r="F169" s="7">
        <v>0.22917348582337807</v>
      </c>
      <c r="G169" s="10">
        <f>0.017+0.00425</f>
        <v>2.1250000000000002E-2</v>
      </c>
      <c r="H169" s="9">
        <f t="shared" si="2"/>
        <v>0.20792348582337808</v>
      </c>
    </row>
    <row r="170" spans="1:8">
      <c r="A170" s="5">
        <v>168</v>
      </c>
      <c r="B170" s="6" t="s">
        <v>711</v>
      </c>
      <c r="C170" s="5">
        <v>14.63</v>
      </c>
      <c r="D170" s="5">
        <v>35</v>
      </c>
      <c r="E170" s="5">
        <v>10</v>
      </c>
      <c r="F170" s="7">
        <v>0.38981207498831832</v>
      </c>
      <c r="G170" s="6">
        <v>0.13200000000000001</v>
      </c>
      <c r="H170" s="9">
        <f t="shared" si="2"/>
        <v>0.25781207498831832</v>
      </c>
    </row>
    <row r="171" spans="1:8">
      <c r="A171" s="5">
        <v>169</v>
      </c>
      <c r="B171" s="6" t="s">
        <v>712</v>
      </c>
      <c r="C171" s="5">
        <v>17.100000000000001</v>
      </c>
      <c r="D171" s="5">
        <v>50</v>
      </c>
      <c r="E171" s="5">
        <v>10</v>
      </c>
      <c r="F171" s="7">
        <v>0.43006530448156099</v>
      </c>
      <c r="G171" s="6">
        <v>3.4000000000000002E-2</v>
      </c>
      <c r="H171" s="9">
        <f t="shared" si="2"/>
        <v>0.39606530448156096</v>
      </c>
    </row>
    <row r="172" spans="1:8">
      <c r="A172" s="5">
        <v>170</v>
      </c>
      <c r="B172" s="6" t="s">
        <v>713</v>
      </c>
      <c r="C172" s="5">
        <v>13.93</v>
      </c>
      <c r="D172" s="5">
        <v>35</v>
      </c>
      <c r="E172" s="5">
        <v>10</v>
      </c>
      <c r="F172" s="7">
        <v>0.40940062147014344</v>
      </c>
      <c r="G172" s="6">
        <v>5.0999999999999997E-2</v>
      </c>
      <c r="H172" s="9">
        <f t="shared" si="2"/>
        <v>0.35840062147014345</v>
      </c>
    </row>
    <row r="173" spans="1:8">
      <c r="A173" s="5">
        <v>171</v>
      </c>
      <c r="B173" s="6" t="s">
        <v>714</v>
      </c>
      <c r="C173" s="5">
        <v>3.29</v>
      </c>
      <c r="D173" s="5">
        <v>35</v>
      </c>
      <c r="E173" s="5">
        <v>10</v>
      </c>
      <c r="F173" s="7">
        <v>1.7334196526076286</v>
      </c>
      <c r="G173" s="6">
        <f>0.067+0.0105</f>
        <v>7.7499999999999999E-2</v>
      </c>
      <c r="H173" s="9">
        <f t="shared" si="2"/>
        <v>1.6559196526076287</v>
      </c>
    </row>
    <row r="174" spans="1:8">
      <c r="A174" s="5">
        <v>172</v>
      </c>
      <c r="B174" s="6" t="s">
        <v>715</v>
      </c>
      <c r="C174" s="5">
        <v>0.91</v>
      </c>
      <c r="D174" s="5">
        <v>50</v>
      </c>
      <c r="E174" s="5">
        <v>10</v>
      </c>
      <c r="F174" s="7">
        <v>3.3423600000000007</v>
      </c>
      <c r="G174" s="6">
        <v>0</v>
      </c>
      <c r="H174" s="9">
        <f t="shared" si="2"/>
        <v>3.3423600000000007</v>
      </c>
    </row>
    <row r="175" spans="1:8">
      <c r="A175" s="5">
        <v>173</v>
      </c>
      <c r="B175" s="6" t="s">
        <v>716</v>
      </c>
      <c r="C175" s="5">
        <v>2.8</v>
      </c>
      <c r="D175" s="5">
        <v>35</v>
      </c>
      <c r="E175" s="5">
        <v>10</v>
      </c>
      <c r="F175" s="7">
        <v>2.0367680918139635</v>
      </c>
      <c r="G175" s="6">
        <f>0.134+0.0105</f>
        <v>0.14450000000000002</v>
      </c>
      <c r="H175" s="9">
        <f t="shared" si="2"/>
        <v>1.8922680918139634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Костанайская горэлектросеть</vt:lpstr>
      <vt:lpstr>Аулиекольский РЭС</vt:lpstr>
      <vt:lpstr>Беимбета Майлина</vt:lpstr>
      <vt:lpstr>Денисовский РЭС</vt:lpstr>
      <vt:lpstr>Житикаринский РЭС</vt:lpstr>
      <vt:lpstr>Камыстинский РЭС</vt:lpstr>
      <vt:lpstr>Карабалыкский РЭС</vt:lpstr>
      <vt:lpstr>Карасуский РЭС</vt:lpstr>
      <vt:lpstr>Костанайский РЭС</vt:lpstr>
      <vt:lpstr>Мендыкаринский РЭС</vt:lpstr>
      <vt:lpstr>Сарыкольский РЭС</vt:lpstr>
      <vt:lpstr>Узункольский РЭС</vt:lpstr>
      <vt:lpstr>Федоровский РЭС</vt:lpstr>
      <vt:lpstr>'Аулиекольский РЭС'!Область_печати</vt:lpstr>
      <vt:lpstr>'Беимбета Майлина'!Область_печати</vt:lpstr>
      <vt:lpstr>'Денисовский РЭС'!Область_печати</vt:lpstr>
      <vt:lpstr>'Житикаринский РЭС'!Область_печати</vt:lpstr>
      <vt:lpstr>'Камыстинский РЭС'!Область_печати</vt:lpstr>
      <vt:lpstr>'Карабалыкский РЭС'!Область_печати</vt:lpstr>
      <vt:lpstr>'Карасуский РЭС'!Область_печати</vt:lpstr>
      <vt:lpstr>'Костанайская горэлектросеть'!Область_печати</vt:lpstr>
      <vt:lpstr>'Костанайский РЭС'!Область_печати</vt:lpstr>
      <vt:lpstr>'Мендыкаринский РЭС'!Область_печати</vt:lpstr>
      <vt:lpstr>'Сарыкольский РЭС'!Область_печати</vt:lpstr>
      <vt:lpstr>'Узункольский РЭС'!Область_печати</vt:lpstr>
      <vt:lpstr>'Федоровский РЭС'!Область_печати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А. Черков</dc:creator>
  <cp:lastModifiedBy>Валерий М. Угай</cp:lastModifiedBy>
  <cp:lastPrinted>2021-10-27T02:56:57Z</cp:lastPrinted>
  <dcterms:created xsi:type="dcterms:W3CDTF">2015-06-05T18:19:34Z</dcterms:created>
  <dcterms:modified xsi:type="dcterms:W3CDTF">2022-11-18T09:07:35Z</dcterms:modified>
</cp:coreProperties>
</file>